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ni\AppData\Local\Temp\_tc\"/>
    </mc:Choice>
  </mc:AlternateContent>
  <xr:revisionPtr revIDLastSave="0" documentId="13_ncr:1_{32316F8F-23E4-41CC-8B06-2796F3F6BAED}" xr6:coauthVersionLast="47" xr6:coauthVersionMax="47" xr10:uidLastSave="{00000000-0000-0000-0000-000000000000}"/>
  <bookViews>
    <workbookView xWindow="384" yWindow="384" windowWidth="17568" windowHeight="11448" tabRatio="723" activeTab="1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5" i="5" l="1"/>
  <c r="AF20" i="5"/>
  <c r="AF25" i="5"/>
  <c r="AF30" i="5"/>
  <c r="AF35" i="5"/>
  <c r="AF40" i="5"/>
  <c r="AF45" i="5"/>
  <c r="AF50" i="5"/>
  <c r="AF55" i="5"/>
  <c r="AF60" i="5"/>
  <c r="AF65" i="5"/>
  <c r="AF10" i="5"/>
  <c r="AF5" i="5"/>
  <c r="C2" i="5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A111" i="9" s="1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 s="1"/>
  <c r="F4" i="7" s="1"/>
  <c r="F5" i="7" s="1"/>
  <c r="F6" i="7" s="1"/>
  <c r="F7" i="7" s="1"/>
  <c r="F8" i="7" s="1"/>
  <c r="F9" i="7" s="1"/>
  <c r="F10" i="7" s="1"/>
  <c r="F11" i="7" s="1"/>
  <c r="F12" i="7" s="1"/>
  <c r="F13" i="7" s="1"/>
  <c r="F14" i="7" s="1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 s="1"/>
  <c r="C125" i="9"/>
  <c r="C126" i="9"/>
  <c r="C127" i="9"/>
  <c r="C107" i="9"/>
  <c r="C109" i="9"/>
  <c r="C110" i="9"/>
  <c r="C111" i="9"/>
  <c r="C115" i="9"/>
  <c r="C116" i="9"/>
  <c r="A119" i="9"/>
  <c r="C117" i="9"/>
  <c r="A118" i="9" s="1"/>
  <c r="C118" i="9"/>
  <c r="C119" i="9"/>
  <c r="C99" i="9"/>
  <c r="C100" i="9"/>
  <c r="A105" i="9" s="1"/>
  <c r="C101" i="9"/>
  <c r="C102" i="9"/>
  <c r="C103" i="9"/>
  <c r="C84" i="9"/>
  <c r="A89" i="9" s="1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A5" i="9" s="1"/>
  <c r="C5" i="9"/>
  <c r="A9" i="9"/>
  <c r="C6" i="9"/>
  <c r="C7" i="9"/>
  <c r="C11" i="9"/>
  <c r="C12" i="9"/>
  <c r="A14" i="9" s="1"/>
  <c r="C13" i="9"/>
  <c r="C14" i="9"/>
  <c r="C15" i="9"/>
  <c r="C19" i="9"/>
  <c r="C20" i="9"/>
  <c r="C21" i="9"/>
  <c r="A22" i="9"/>
  <c r="C22" i="9"/>
  <c r="C23" i="9"/>
  <c r="C27" i="9"/>
  <c r="C28" i="9"/>
  <c r="A32" i="9" s="1"/>
  <c r="C29" i="9"/>
  <c r="C30" i="9"/>
  <c r="C31" i="9"/>
  <c r="C35" i="9"/>
  <c r="C36" i="9"/>
  <c r="A38" i="9" s="1"/>
  <c r="C37" i="9"/>
  <c r="C38" i="9"/>
  <c r="C39" i="9"/>
  <c r="C43" i="9"/>
  <c r="C44" i="9"/>
  <c r="C45" i="9"/>
  <c r="A47" i="9" s="1"/>
  <c r="C46" i="9"/>
  <c r="C47" i="9"/>
  <c r="C51" i="9"/>
  <c r="C52" i="9"/>
  <c r="A52" i="9" s="1"/>
  <c r="C53" i="9"/>
  <c r="C54" i="9"/>
  <c r="C55" i="9"/>
  <c r="C59" i="9"/>
  <c r="C60" i="9"/>
  <c r="A63" i="9" s="1"/>
  <c r="C61" i="9"/>
  <c r="C62" i="9"/>
  <c r="C63" i="9"/>
  <c r="C67" i="9"/>
  <c r="C68" i="9"/>
  <c r="C69" i="9"/>
  <c r="C70" i="9"/>
  <c r="C71" i="9"/>
  <c r="C75" i="9"/>
  <c r="C76" i="9"/>
  <c r="C77" i="9"/>
  <c r="A77" i="9" s="1"/>
  <c r="C78" i="9"/>
  <c r="C79" i="9"/>
  <c r="C83" i="9"/>
  <c r="C86" i="9"/>
  <c r="C87" i="9"/>
  <c r="C91" i="9"/>
  <c r="C92" i="9"/>
  <c r="A91" i="9" s="1"/>
  <c r="A95" i="9"/>
  <c r="C93" i="9"/>
  <c r="C94" i="9"/>
  <c r="C95" i="9"/>
  <c r="B8" i="7"/>
  <c r="A4" i="7"/>
  <c r="D4" i="7" s="1"/>
  <c r="G4" i="7" s="1"/>
  <c r="A10" i="5"/>
  <c r="A11" i="5"/>
  <c r="B4" i="7" s="1"/>
  <c r="A15" i="5"/>
  <c r="A16" i="5"/>
  <c r="B14" i="7"/>
  <c r="A20" i="5"/>
  <c r="A21" i="5"/>
  <c r="B7" i="7" s="1"/>
  <c r="A7" i="7" s="1"/>
  <c r="D7" i="7" s="1"/>
  <c r="A25" i="5"/>
  <c r="A26" i="5"/>
  <c r="B13" i="7"/>
  <c r="A13" i="7" s="1"/>
  <c r="D13" i="7" s="1"/>
  <c r="H13" i="7" s="1"/>
  <c r="A30" i="5"/>
  <c r="A31" i="5"/>
  <c r="B10" i="7" s="1"/>
  <c r="A35" i="5"/>
  <c r="A36" i="5"/>
  <c r="B2" i="7"/>
  <c r="A40" i="5"/>
  <c r="A41" i="5"/>
  <c r="B11" i="7" s="1"/>
  <c r="A11" i="7" s="1"/>
  <c r="D11" i="7" s="1"/>
  <c r="A45" i="5"/>
  <c r="A46" i="5"/>
  <c r="B5" i="7"/>
  <c r="A5" i="7" s="1"/>
  <c r="D5" i="7" s="1"/>
  <c r="G5" i="7" s="1"/>
  <c r="A50" i="5"/>
  <c r="A51" i="5"/>
  <c r="B6" i="7" s="1"/>
  <c r="A55" i="5"/>
  <c r="A56" i="5"/>
  <c r="B9" i="7"/>
  <c r="A60" i="5"/>
  <c r="A61" i="5"/>
  <c r="A65" i="5"/>
  <c r="A66" i="5"/>
  <c r="B12" i="7" s="1"/>
  <c r="A70" i="5"/>
  <c r="A71" i="5"/>
  <c r="A75" i="5"/>
  <c r="A76" i="5"/>
  <c r="A5" i="5"/>
  <c r="E2" i="7"/>
  <c r="E3" i="7"/>
  <c r="E4" i="7"/>
  <c r="A6" i="5"/>
  <c r="B3" i="7" s="1"/>
  <c r="A3" i="7" s="1"/>
  <c r="D3" i="7"/>
  <c r="G3" i="7" s="1"/>
  <c r="A107" i="9"/>
  <c r="A11" i="9"/>
  <c r="A81" i="9"/>
  <c r="A67" i="9"/>
  <c r="A109" i="9"/>
  <c r="A7" i="9"/>
  <c r="A94" i="9"/>
  <c r="A79" i="9"/>
  <c r="A50" i="9"/>
  <c r="A43" i="9"/>
  <c r="A18" i="9"/>
  <c r="A129" i="9"/>
  <c r="A36" i="9"/>
  <c r="A70" i="9"/>
  <c r="A10" i="9"/>
  <c r="A35" i="9"/>
  <c r="A68" i="9"/>
  <c r="A72" i="9"/>
  <c r="A74" i="9"/>
  <c r="A64" i="9"/>
  <c r="A19" i="9"/>
  <c r="A24" i="9"/>
  <c r="A88" i="9"/>
  <c r="A84" i="9"/>
  <c r="A86" i="9"/>
  <c r="A103" i="9"/>
  <c r="A102" i="9"/>
  <c r="A104" i="9"/>
  <c r="A121" i="9"/>
  <c r="A116" i="9"/>
  <c r="A115" i="9"/>
  <c r="A117" i="9"/>
  <c r="A57" i="9"/>
  <c r="A56" i="9"/>
  <c r="A33" i="9"/>
  <c r="A110" i="9"/>
  <c r="A127" i="9"/>
  <c r="A124" i="9"/>
  <c r="A122" i="9"/>
  <c r="E2" i="5"/>
  <c r="H5" i="7"/>
  <c r="E5" i="7"/>
  <c r="E6" i="7"/>
  <c r="A26" i="9"/>
  <c r="A27" i="9"/>
  <c r="A28" i="9"/>
  <c r="A23" i="9"/>
  <c r="A20" i="9"/>
  <c r="A65" i="9"/>
  <c r="A123" i="9"/>
  <c r="A130" i="9"/>
  <c r="A113" i="9"/>
  <c r="A31" i="9"/>
  <c r="A34" i="9"/>
  <c r="A100" i="9"/>
  <c r="A101" i="9"/>
  <c r="A87" i="9"/>
  <c r="A21" i="9"/>
  <c r="A60" i="9"/>
  <c r="A66" i="9"/>
  <c r="A4" i="9"/>
  <c r="A40" i="9"/>
  <c r="A96" i="9"/>
  <c r="A12" i="9"/>
  <c r="A73" i="9"/>
  <c r="A98" i="9"/>
  <c r="A37" i="9"/>
  <c r="A15" i="9"/>
  <c r="A114" i="9"/>
  <c r="A112" i="9"/>
  <c r="A29" i="9"/>
  <c r="A106" i="9"/>
  <c r="A25" i="9"/>
  <c r="A61" i="9"/>
  <c r="A8" i="9"/>
  <c r="A39" i="9"/>
  <c r="A16" i="9"/>
  <c r="A17" i="9"/>
  <c r="A93" i="9"/>
  <c r="A80" i="9"/>
  <c r="A3" i="9"/>
  <c r="E7" i="7"/>
  <c r="E8" i="7" s="1"/>
  <c r="E9" i="7" s="1"/>
  <c r="E10" i="7" s="1"/>
  <c r="E11" i="7" s="1"/>
  <c r="E12" i="7" s="1"/>
  <c r="E13" i="7" s="1"/>
  <c r="E14" i="7" s="1"/>
  <c r="G7" i="7" l="1"/>
  <c r="H7" i="7"/>
  <c r="H11" i="7"/>
  <c r="G11" i="7"/>
  <c r="D28" i="5"/>
  <c r="D27" i="5"/>
  <c r="D5" i="5"/>
  <c r="H3" i="7"/>
  <c r="A8" i="7"/>
  <c r="D8" i="7" s="1"/>
  <c r="A58" i="9"/>
  <c r="A53" i="9"/>
  <c r="H4" i="7"/>
  <c r="A49" i="9"/>
  <c r="A12" i="7"/>
  <c r="D12" i="7" s="1"/>
  <c r="A6" i="7"/>
  <c r="D6" i="7" s="1"/>
  <c r="A10" i="7"/>
  <c r="D10" i="7" s="1"/>
  <c r="A78" i="9"/>
  <c r="A46" i="9"/>
  <c r="D15" i="5"/>
  <c r="G13" i="7"/>
  <c r="D4" i="5"/>
  <c r="D19" i="5"/>
  <c r="A54" i="9"/>
  <c r="A51" i="9"/>
  <c r="A55" i="9"/>
  <c r="D12" i="5"/>
  <c r="D8" i="5"/>
  <c r="D6" i="5"/>
  <c r="D9" i="5"/>
  <c r="A48" i="9"/>
  <c r="A44" i="9"/>
  <c r="F42" i="5" s="1"/>
  <c r="A9" i="7"/>
  <c r="D9" i="7" s="1"/>
  <c r="A2" i="7"/>
  <c r="D2" i="7" s="1"/>
  <c r="A14" i="7"/>
  <c r="D14" i="7" s="1"/>
  <c r="A69" i="9"/>
  <c r="A71" i="9"/>
  <c r="D25" i="5"/>
  <c r="D43" i="5"/>
  <c r="A42" i="9"/>
  <c r="A75" i="9"/>
  <c r="A85" i="9"/>
  <c r="A59" i="9"/>
  <c r="D68" i="5" s="1"/>
  <c r="A6" i="9"/>
  <c r="D73" i="5" s="1"/>
  <c r="A82" i="9"/>
  <c r="A41" i="9"/>
  <c r="E70" i="5" s="1"/>
  <c r="A83" i="9"/>
  <c r="A76" i="9"/>
  <c r="A128" i="9"/>
  <c r="A125" i="9"/>
  <c r="A108" i="9"/>
  <c r="A30" i="9"/>
  <c r="A120" i="9"/>
  <c r="A99" i="9"/>
  <c r="A62" i="9"/>
  <c r="A45" i="9"/>
  <c r="A13" i="9"/>
  <c r="E32" i="5" s="1"/>
  <c r="A97" i="9"/>
  <c r="A92" i="9"/>
  <c r="F2" i="5"/>
  <c r="E59" i="5"/>
  <c r="E28" i="5"/>
  <c r="E11" i="5"/>
  <c r="E64" i="5"/>
  <c r="F15" i="5"/>
  <c r="E50" i="5"/>
  <c r="E18" i="5"/>
  <c r="F17" i="5"/>
  <c r="F28" i="5"/>
  <c r="F20" i="5"/>
  <c r="E19" i="5"/>
  <c r="E26" i="5"/>
  <c r="F48" i="5"/>
  <c r="E20" i="5"/>
  <c r="F13" i="5"/>
  <c r="E13" i="5"/>
  <c r="F12" i="5"/>
  <c r="F60" i="5"/>
  <c r="E9" i="5"/>
  <c r="E16" i="5"/>
  <c r="E27" i="5"/>
  <c r="F38" i="5"/>
  <c r="F14" i="5"/>
  <c r="F19" i="5"/>
  <c r="F23" i="5"/>
  <c r="F73" i="5"/>
  <c r="F4" i="5"/>
  <c r="F9" i="5"/>
  <c r="F8" i="5"/>
  <c r="F82" i="5"/>
  <c r="F5" i="5"/>
  <c r="G2" i="5"/>
  <c r="F7" i="5"/>
  <c r="F10" i="5"/>
  <c r="F26" i="5"/>
  <c r="F18" i="5"/>
  <c r="F16" i="5"/>
  <c r="F68" i="5"/>
  <c r="F80" i="5"/>
  <c r="F25" i="5"/>
  <c r="F6" i="5"/>
  <c r="F59" i="5"/>
  <c r="F47" i="5"/>
  <c r="F27" i="5"/>
  <c r="F71" i="5"/>
  <c r="F21" i="5"/>
  <c r="F24" i="5"/>
  <c r="E24" i="5"/>
  <c r="E52" i="5"/>
  <c r="E81" i="5"/>
  <c r="E5" i="5"/>
  <c r="E76" i="5"/>
  <c r="E56" i="5"/>
  <c r="E8" i="5"/>
  <c r="E17" i="5"/>
  <c r="E54" i="5"/>
  <c r="E40" i="5"/>
  <c r="E82" i="5"/>
  <c r="E77" i="5"/>
  <c r="E22" i="5"/>
  <c r="E15" i="5"/>
  <c r="E62" i="5"/>
  <c r="E78" i="5"/>
  <c r="E66" i="5"/>
  <c r="E45" i="5"/>
  <c r="E37" i="5"/>
  <c r="E12" i="5"/>
  <c r="E83" i="5"/>
  <c r="E21" i="5"/>
  <c r="E6" i="5"/>
  <c r="E39" i="5"/>
  <c r="E7" i="5"/>
  <c r="E10" i="5"/>
  <c r="E67" i="5"/>
  <c r="E23" i="5"/>
  <c r="E36" i="5"/>
  <c r="E49" i="5"/>
  <c r="E4" i="5"/>
  <c r="E58" i="5"/>
  <c r="E31" i="5"/>
  <c r="E14" i="5"/>
  <c r="D67" i="5" l="1"/>
  <c r="D44" i="5"/>
  <c r="D53" i="5"/>
  <c r="D82" i="5"/>
  <c r="D40" i="5"/>
  <c r="E53" i="5"/>
  <c r="E51" i="5"/>
  <c r="E63" i="5"/>
  <c r="E61" i="5"/>
  <c r="E79" i="5"/>
  <c r="F78" i="5"/>
  <c r="F55" i="5"/>
  <c r="F35" i="5"/>
  <c r="F62" i="5"/>
  <c r="E35" i="5"/>
  <c r="F69" i="5"/>
  <c r="E30" i="5"/>
  <c r="H14" i="7"/>
  <c r="G14" i="7"/>
  <c r="D83" i="5"/>
  <c r="D79" i="5"/>
  <c r="D77" i="5"/>
  <c r="D76" i="5"/>
  <c r="D66" i="5"/>
  <c r="D55" i="5"/>
  <c r="D39" i="5"/>
  <c r="D51" i="5"/>
  <c r="D56" i="5"/>
  <c r="D62" i="5"/>
  <c r="D35" i="5"/>
  <c r="D75" i="5"/>
  <c r="D78" i="5"/>
  <c r="G12" i="7"/>
  <c r="H12" i="7"/>
  <c r="D71" i="5"/>
  <c r="D37" i="5"/>
  <c r="H8" i="7"/>
  <c r="G8" i="7"/>
  <c r="D45" i="5"/>
  <c r="E38" i="5"/>
  <c r="E44" i="5"/>
  <c r="E69" i="5"/>
  <c r="E41" i="5"/>
  <c r="F43" i="5"/>
  <c r="F53" i="5"/>
  <c r="F81" i="5"/>
  <c r="F31" i="5"/>
  <c r="F83" i="5"/>
  <c r="F65" i="5"/>
  <c r="E65" i="5"/>
  <c r="E42" i="5"/>
  <c r="E72" i="5"/>
  <c r="E75" i="5"/>
  <c r="E46" i="5"/>
  <c r="E71" i="5"/>
  <c r="E29" i="5"/>
  <c r="E47" i="5"/>
  <c r="E57" i="5"/>
  <c r="E60" i="5"/>
  <c r="E34" i="5"/>
  <c r="E55" i="5"/>
  <c r="E74" i="5"/>
  <c r="F56" i="5"/>
  <c r="F63" i="5"/>
  <c r="F45" i="5"/>
  <c r="F32" i="5"/>
  <c r="F52" i="5"/>
  <c r="F49" i="5"/>
  <c r="F30" i="5"/>
  <c r="F54" i="5"/>
  <c r="F79" i="5"/>
  <c r="F61" i="5"/>
  <c r="F37" i="5"/>
  <c r="F41" i="5"/>
  <c r="F39" i="5"/>
  <c r="F66" i="5"/>
  <c r="E80" i="5"/>
  <c r="E68" i="5"/>
  <c r="E48" i="5"/>
  <c r="E33" i="5"/>
  <c r="E3" i="5" s="1"/>
  <c r="E73" i="5"/>
  <c r="E43" i="5"/>
  <c r="D20" i="5"/>
  <c r="H2" i="7"/>
  <c r="G2" i="7"/>
  <c r="D18" i="5"/>
  <c r="D70" i="5"/>
  <c r="D31" i="5"/>
  <c r="D64" i="5"/>
  <c r="D49" i="5"/>
  <c r="D54" i="5"/>
  <c r="D36" i="5"/>
  <c r="D58" i="5"/>
  <c r="D14" i="5"/>
  <c r="G10" i="7"/>
  <c r="H10" i="7"/>
  <c r="D47" i="5"/>
  <c r="D72" i="5"/>
  <c r="D16" i="5"/>
  <c r="D74" i="5"/>
  <c r="D50" i="5"/>
  <c r="F40" i="5"/>
  <c r="F33" i="5"/>
  <c r="F64" i="5"/>
  <c r="F50" i="5"/>
  <c r="F34" i="5"/>
  <c r="F70" i="5"/>
  <c r="F76" i="5"/>
  <c r="F74" i="5"/>
  <c r="F72" i="5"/>
  <c r="F36" i="5"/>
  <c r="E25" i="5"/>
  <c r="F11" i="5"/>
  <c r="D42" i="5"/>
  <c r="D34" i="5"/>
  <c r="D38" i="5"/>
  <c r="D52" i="5"/>
  <c r="D61" i="5"/>
  <c r="D48" i="5"/>
  <c r="D32" i="5"/>
  <c r="D21" i="5"/>
  <c r="D41" i="5"/>
  <c r="D13" i="5"/>
  <c r="D3" i="5" s="1"/>
  <c r="D24" i="5"/>
  <c r="D63" i="5"/>
  <c r="D81" i="5"/>
  <c r="D29" i="5"/>
  <c r="H9" i="7"/>
  <c r="G9" i="7"/>
  <c r="D10" i="5"/>
  <c r="D60" i="5"/>
  <c r="D65" i="5"/>
  <c r="D11" i="5"/>
  <c r="D59" i="5"/>
  <c r="D26" i="5"/>
  <c r="D17" i="5"/>
  <c r="D46" i="5"/>
  <c r="D7" i="5"/>
  <c r="H6" i="7"/>
  <c r="G6" i="7"/>
  <c r="D80" i="5"/>
  <c r="D69" i="5"/>
  <c r="D23" i="5"/>
  <c r="D57" i="5"/>
  <c r="D33" i="5"/>
  <c r="D30" i="5"/>
  <c r="D22" i="5"/>
  <c r="F57" i="5"/>
  <c r="F22" i="5"/>
  <c r="F44" i="5"/>
  <c r="F58" i="5"/>
  <c r="F3" i="5" s="1"/>
  <c r="F75" i="5"/>
  <c r="F67" i="5"/>
  <c r="F51" i="5"/>
  <c r="F46" i="5"/>
  <c r="F29" i="5"/>
  <c r="F77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O3" i="5" l="1"/>
  <c r="P80" i="5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P3" i="5" l="1"/>
  <c r="Q67" i="5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20" i="5"/>
  <c r="Q9" i="5"/>
  <c r="Q80" i="5"/>
  <c r="Q33" i="5"/>
  <c r="Q17" i="5"/>
  <c r="Q13" i="5"/>
  <c r="Q55" i="5"/>
  <c r="Q64" i="5"/>
  <c r="Q56" i="5"/>
  <c r="Q52" i="5"/>
  <c r="Q32" i="5"/>
  <c r="Q3" i="5" l="1"/>
  <c r="R22" i="5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R3" i="5" l="1"/>
  <c r="S53" i="5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C12" i="7"/>
  <c r="C5" i="7"/>
  <c r="EF84" i="9"/>
  <c r="EF28" i="9"/>
  <c r="EF92" i="9"/>
  <c r="C10" i="7"/>
  <c r="EF44" i="9"/>
  <c r="EF4" i="9"/>
  <c r="C3" i="7"/>
  <c r="EF116" i="9"/>
  <c r="EE65" i="9"/>
  <c r="EE17" i="9"/>
  <c r="EF76" i="9"/>
  <c r="EF36" i="9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J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3" i="7" l="1"/>
  <c r="Q12" i="7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B14" i="6"/>
  <c r="C14" i="6" s="1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3" i="7" l="1"/>
  <c r="M14" i="6" s="1"/>
  <c r="AA12" i="7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<sst xmlns="http://schemas.openxmlformats.org/spreadsheetml/2006/main" count="415" uniqueCount="72">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</sst>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62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  <xf numFmtId="1" fontId="0" fillId="6" borderId="25" xfId="0" applyNumberFormat="1" applyFill="1" applyBorder="1" applyAlignment="1">
      <alignment horizontal="center"/>
    </xf>
    <xf numFmtId="1" fontId="4" fillId="0" borderId="26" xfId="0" applyNumberFormat="1" applyFont="1" applyBorder="1" applyAlignment="1" applyProtection="1">
      <alignment horizontal="center"/>
      <protection hidden="1"/>
    </xf>
    <xf numFmtId="1" fontId="4" fillId="0" borderId="28" xfId="0" applyNumberFormat="1" applyFont="1" applyBorder="1" applyAlignment="1" applyProtection="1">
      <alignment horizontal="center"/>
      <protection hidden="1"/>
    </xf>
    <xf numFmtId="1" fontId="4" fillId="0" borderId="29" xfId="0" applyNumberFormat="1" applyFont="1" applyBorder="1" applyAlignment="1" applyProtection="1">
      <alignment horizont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BD78" activePane="bottomRight" state="frozen"/>
      <selection activeCell="B1" sqref="B1"/>
      <selection pane="topRight" activeCell="D1" sqref="D1"/>
      <selection pane="bottomLeft" activeCell="B3" sqref="B3"/>
      <selection pane="bottomRight" activeCell="CA96" sqref="CA96"/>
    </sheetView>
  </sheetViews>
  <sheetFormatPr defaultColWidth="8.77734375" defaultRowHeight="13.2" x14ac:dyDescent="0.25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 x14ac:dyDescent="0.3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>
        <v>43872</v>
      </c>
      <c r="AE1" s="144"/>
      <c r="AF1" s="144"/>
      <c r="AG1" s="144"/>
      <c r="AH1" s="145"/>
      <c r="AI1" s="143">
        <v>43879</v>
      </c>
      <c r="AJ1" s="144"/>
      <c r="AK1" s="144"/>
      <c r="AL1" s="144"/>
      <c r="AM1" s="145"/>
      <c r="AN1" s="143">
        <v>43886</v>
      </c>
      <c r="AO1" s="144"/>
      <c r="AP1" s="144"/>
      <c r="AQ1" s="144"/>
      <c r="AR1" s="145"/>
      <c r="AS1" s="143">
        <v>43893</v>
      </c>
      <c r="AT1" s="144"/>
      <c r="AU1" s="144"/>
      <c r="AV1" s="144"/>
      <c r="AW1" s="145"/>
      <c r="AX1" s="143">
        <v>43900</v>
      </c>
      <c r="AY1" s="144"/>
      <c r="AZ1" s="144"/>
      <c r="BA1" s="144"/>
      <c r="BB1" s="145"/>
      <c r="BC1" s="143">
        <v>43984</v>
      </c>
      <c r="BD1" s="144"/>
      <c r="BE1" s="144"/>
      <c r="BF1" s="144"/>
      <c r="BG1" s="145"/>
      <c r="BH1" s="143">
        <v>43991</v>
      </c>
      <c r="BI1" s="144"/>
      <c r="BJ1" s="144"/>
      <c r="BK1" s="144"/>
      <c r="BL1" s="145"/>
      <c r="BM1" s="151">
        <v>43998</v>
      </c>
      <c r="BN1" s="152"/>
      <c r="BO1" s="152"/>
      <c r="BP1" s="152"/>
      <c r="BQ1" s="153"/>
      <c r="BR1" s="151">
        <v>44005</v>
      </c>
      <c r="BS1" s="152"/>
      <c r="BT1" s="152"/>
      <c r="BU1" s="152"/>
      <c r="BV1" s="153"/>
      <c r="BW1" s="151">
        <v>44012</v>
      </c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 x14ac:dyDescent="0.3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 x14ac:dyDescent="0.25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>
        <v>0</v>
      </c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0</v>
      </c>
      <c r="EF3" s="114"/>
    </row>
    <row r="4" spans="1:136" ht="13.8" x14ac:dyDescent="0.25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>
        <v>0</v>
      </c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0</v>
      </c>
      <c r="EF4" s="116">
        <f>SUM(EE3-EE4)</f>
        <v>0</v>
      </c>
    </row>
    <row r="5" spans="1:136" ht="13.8" x14ac:dyDescent="0.25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>
        <v>0</v>
      </c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0</v>
      </c>
      <c r="EF5" s="117"/>
    </row>
    <row r="6" spans="1:136" ht="13.8" x14ac:dyDescent="0.25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>
        <v>0</v>
      </c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0</v>
      </c>
      <c r="EF6" s="117"/>
    </row>
    <row r="7" spans="1:136" ht="13.8" x14ac:dyDescent="0.25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>
        <v>4</v>
      </c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4</v>
      </c>
      <c r="EF7" s="117"/>
    </row>
    <row r="8" spans="1:136" ht="13.8" x14ac:dyDescent="0.25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>
        <v>46</v>
      </c>
      <c r="BS8" s="3">
        <v>30</v>
      </c>
      <c r="BT8" s="3">
        <v>47</v>
      </c>
      <c r="BU8" s="1">
        <v>57</v>
      </c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180</v>
      </c>
      <c r="EF8" s="117"/>
    </row>
    <row r="9" spans="1:136" ht="13.8" x14ac:dyDescent="0.25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>
        <f>IF(BR8&lt;&gt;"",AVERAGE($E8:BR$8),"")</f>
        <v>46</v>
      </c>
      <c r="BS9" s="84">
        <f>IF(BS8&lt;&gt;"",AVERAGE($E8:BS$8),"")</f>
        <v>38</v>
      </c>
      <c r="BT9" s="84">
        <f>IF(BT8&lt;&gt;"",AVERAGE($E8:BT$8),"")</f>
        <v>41</v>
      </c>
      <c r="BU9" s="84">
        <f>IF(BU8&lt;&gt;"",AVERAGE($E8:BU$8),"")</f>
        <v>45</v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45</v>
      </c>
      <c r="EF9" s="119"/>
    </row>
    <row r="10" spans="1:136" ht="14.4" thickBot="1" x14ac:dyDescent="0.3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0</v>
      </c>
      <c r="EF10" s="121"/>
    </row>
    <row r="11" spans="1:136" ht="14.4" thickTop="1" x14ac:dyDescent="0.25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>
        <v>0</v>
      </c>
      <c r="BD11" s="24"/>
      <c r="BE11" s="24"/>
      <c r="BF11" s="24"/>
      <c r="BG11" s="25"/>
      <c r="BH11" s="24">
        <v>0</v>
      </c>
      <c r="BI11" s="24"/>
      <c r="BJ11" s="24"/>
      <c r="BK11" s="24"/>
      <c r="BL11" s="25"/>
      <c r="BM11" s="24">
        <v>1</v>
      </c>
      <c r="BN11" s="24"/>
      <c r="BO11" s="24"/>
      <c r="BP11" s="24"/>
      <c r="BQ11" s="25"/>
      <c r="BR11" s="24">
        <v>1</v>
      </c>
      <c r="BS11" s="24"/>
      <c r="BT11" s="24"/>
      <c r="BU11" s="24"/>
      <c r="BV11" s="25"/>
      <c r="BW11" s="24">
        <v>3</v>
      </c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12</v>
      </c>
      <c r="EF11" s="123"/>
    </row>
    <row r="12" spans="1:136" ht="13.8" x14ac:dyDescent="0.25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>
        <v>0</v>
      </c>
      <c r="BD12" s="26"/>
      <c r="BE12" s="26"/>
      <c r="BF12" s="26"/>
      <c r="BG12" s="27"/>
      <c r="BH12" s="26">
        <v>0</v>
      </c>
      <c r="BI12" s="26"/>
      <c r="BJ12" s="26"/>
      <c r="BK12" s="26"/>
      <c r="BL12" s="27"/>
      <c r="BM12" s="26">
        <v>1</v>
      </c>
      <c r="BN12" s="26"/>
      <c r="BO12" s="26"/>
      <c r="BP12" s="26"/>
      <c r="BQ12" s="27"/>
      <c r="BR12" s="26">
        <v>1</v>
      </c>
      <c r="BS12" s="26"/>
      <c r="BT12" s="26"/>
      <c r="BU12" s="26"/>
      <c r="BV12" s="27"/>
      <c r="BW12" s="26">
        <v>0</v>
      </c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5</v>
      </c>
      <c r="EF12" s="116">
        <f>SUM(EE11-EE12)</f>
        <v>7</v>
      </c>
    </row>
    <row r="13" spans="1:136" ht="13.8" x14ac:dyDescent="0.25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>
        <v>0</v>
      </c>
      <c r="BD13" s="26"/>
      <c r="BE13" s="26"/>
      <c r="BF13" s="26"/>
      <c r="BG13" s="27"/>
      <c r="BH13" s="26">
        <v>0</v>
      </c>
      <c r="BI13" s="26"/>
      <c r="BJ13" s="26"/>
      <c r="BK13" s="26"/>
      <c r="BL13" s="27"/>
      <c r="BM13" s="26">
        <v>1</v>
      </c>
      <c r="BN13" s="26"/>
      <c r="BO13" s="26"/>
      <c r="BP13" s="26"/>
      <c r="BQ13" s="27"/>
      <c r="BR13" s="26">
        <v>1</v>
      </c>
      <c r="BS13" s="26"/>
      <c r="BT13" s="26"/>
      <c r="BU13" s="26"/>
      <c r="BV13" s="27"/>
      <c r="BW13" s="26">
        <v>0</v>
      </c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5</v>
      </c>
      <c r="EF13" s="119"/>
    </row>
    <row r="14" spans="1:136" ht="13.8" x14ac:dyDescent="0.25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>
        <v>0</v>
      </c>
      <c r="BD14" s="26"/>
      <c r="BE14" s="26"/>
      <c r="BF14" s="26"/>
      <c r="BG14" s="27"/>
      <c r="BH14" s="26">
        <v>1</v>
      </c>
      <c r="BI14" s="26"/>
      <c r="BJ14" s="26"/>
      <c r="BK14" s="26"/>
      <c r="BL14" s="27"/>
      <c r="BM14" s="26">
        <v>0</v>
      </c>
      <c r="BN14" s="26"/>
      <c r="BO14" s="26"/>
      <c r="BP14" s="26"/>
      <c r="BQ14" s="27"/>
      <c r="BR14" s="26">
        <v>0</v>
      </c>
      <c r="BS14" s="26"/>
      <c r="BT14" s="26"/>
      <c r="BU14" s="26"/>
      <c r="BV14" s="27"/>
      <c r="BW14" s="26">
        <v>1</v>
      </c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3</v>
      </c>
      <c r="EF14" s="119"/>
    </row>
    <row r="15" spans="1:136" ht="13.8" x14ac:dyDescent="0.25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>
        <v>4</v>
      </c>
      <c r="BD15" s="26"/>
      <c r="BE15" s="26"/>
      <c r="BF15" s="26"/>
      <c r="BG15" s="27"/>
      <c r="BH15" s="26">
        <v>3</v>
      </c>
      <c r="BI15" s="26"/>
      <c r="BJ15" s="26"/>
      <c r="BK15" s="26"/>
      <c r="BL15" s="27"/>
      <c r="BM15" s="26">
        <v>3</v>
      </c>
      <c r="BN15" s="26"/>
      <c r="BO15" s="26"/>
      <c r="BP15" s="26"/>
      <c r="BQ15" s="27"/>
      <c r="BR15" s="26">
        <v>4</v>
      </c>
      <c r="BS15" s="26"/>
      <c r="BT15" s="26"/>
      <c r="BU15" s="26"/>
      <c r="BV15" s="27"/>
      <c r="BW15" s="26">
        <v>4</v>
      </c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55</v>
      </c>
      <c r="EF15" s="119"/>
    </row>
    <row r="16" spans="1:136" ht="13.8" x14ac:dyDescent="0.25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>
        <v>50</v>
      </c>
      <c r="BD16" s="26">
        <v>47</v>
      </c>
      <c r="BE16" s="26">
        <v>80</v>
      </c>
      <c r="BF16" s="26">
        <v>117</v>
      </c>
      <c r="BG16" s="27"/>
      <c r="BH16" s="26">
        <v>34</v>
      </c>
      <c r="BI16" s="26">
        <v>48</v>
      </c>
      <c r="BJ16" s="26">
        <v>25</v>
      </c>
      <c r="BK16" s="26"/>
      <c r="BL16" s="27"/>
      <c r="BM16" s="26">
        <v>34</v>
      </c>
      <c r="BN16" s="26">
        <v>169</v>
      </c>
      <c r="BO16" s="26">
        <v>0</v>
      </c>
      <c r="BP16" s="26"/>
      <c r="BQ16" s="27"/>
      <c r="BR16" s="26">
        <v>84</v>
      </c>
      <c r="BS16" s="26">
        <v>0</v>
      </c>
      <c r="BT16" s="26">
        <v>169</v>
      </c>
      <c r="BU16" s="26">
        <v>83</v>
      </c>
      <c r="BV16" s="27"/>
      <c r="BW16" s="26">
        <v>0</v>
      </c>
      <c r="BX16" s="26">
        <v>0</v>
      </c>
      <c r="BY16" s="26">
        <v>0</v>
      </c>
      <c r="BZ16" s="26">
        <v>154</v>
      </c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3432</v>
      </c>
      <c r="EF16" s="119"/>
    </row>
    <row r="17" spans="1:136" ht="13.8" x14ac:dyDescent="0.25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>
        <f>IF(BC16&lt;&gt;"",AVERAGE($E$16:BC16),"")</f>
        <v>62.842105263157897</v>
      </c>
      <c r="BD17" s="111">
        <f>IF(BD16&lt;&gt;"",AVERAGE($E$16:BD16),"")</f>
        <v>62.435897435897438</v>
      </c>
      <c r="BE17" s="111">
        <f>IF(BE16&lt;&gt;"",AVERAGE($E$16:BE16),"")</f>
        <v>62.875</v>
      </c>
      <c r="BF17" s="111">
        <f>IF(BF16&lt;&gt;"",AVERAGE($E$16:BF16),"")</f>
        <v>64.195121951219505</v>
      </c>
      <c r="BG17" s="112" t="str">
        <f>IF(BG16&lt;&gt;"",AVERAGE($E$16:BG16),"")</f>
        <v/>
      </c>
      <c r="BH17" s="111">
        <f>IF(BH16&lt;&gt;"",AVERAGE($E$16:BH16),"")</f>
        <v>63.476190476190474</v>
      </c>
      <c r="BI17" s="111">
        <f>IF(BI16&lt;&gt;"",AVERAGE($E$16:BI16),"")</f>
        <v>63.116279069767444</v>
      </c>
      <c r="BJ17" s="111">
        <f>IF(BJ16&lt;&gt;"",AVERAGE($E$16:BJ16),"")</f>
        <v>62.25</v>
      </c>
      <c r="BK17" s="111" t="str">
        <f>IF(BK16&lt;&gt;"",AVERAGE($E$16:BK16),"")</f>
        <v/>
      </c>
      <c r="BL17" s="112" t="str">
        <f>IF(BL16&lt;&gt;"",AVERAGE($E$16:BL16),"")</f>
        <v/>
      </c>
      <c r="BM17" s="111">
        <f>IF(BM16&lt;&gt;"",AVERAGE($E$16:BM16),"")</f>
        <v>61.62222222222222</v>
      </c>
      <c r="BN17" s="111">
        <f>IF(BN16&lt;&gt;"",AVERAGE($E$16:BN16),"")</f>
        <v>63.956521739130437</v>
      </c>
      <c r="BO17" s="111">
        <f>IF(BO16&lt;&gt;"",AVERAGE($E$16:BO16),"")</f>
        <v>62.595744680851062</v>
      </c>
      <c r="BP17" s="111" t="str">
        <f>IF(BP16&lt;&gt;"",AVERAGE($E$16:BP16),"")</f>
        <v/>
      </c>
      <c r="BQ17" s="112" t="str">
        <f>IF(BQ16&lt;&gt;"",AVERAGE($E$16:BQ16),"")</f>
        <v/>
      </c>
      <c r="BR17" s="111">
        <f>IF(BR16&lt;&gt;"",AVERAGE($E$16:BR16),"")</f>
        <v>63.041666666666664</v>
      </c>
      <c r="BS17" s="111">
        <f>IF(BS16&lt;&gt;"",AVERAGE($E$16:BS16),"")</f>
        <v>61.755102040816325</v>
      </c>
      <c r="BT17" s="111">
        <f>IF(BT16&lt;&gt;"",AVERAGE($E$16:BT16),"")</f>
        <v>63.9</v>
      </c>
      <c r="BU17" s="111">
        <f>IF(BU16&lt;&gt;"",AVERAGE($E$16:BU16),"")</f>
        <v>64.274509803921575</v>
      </c>
      <c r="BV17" s="112" t="str">
        <f>IF(BV16&lt;&gt;"",AVERAGE($E$16:BV16),"")</f>
        <v/>
      </c>
      <c r="BW17" s="111">
        <f>IF(BW16&lt;&gt;"",AVERAGE($E$16:BW16),"")</f>
        <v>63.03846153846154</v>
      </c>
      <c r="BX17" s="111">
        <f>IF(BX16&lt;&gt;"",AVERAGE($E$16:BX16),"")</f>
        <v>61.849056603773583</v>
      </c>
      <c r="BY17" s="111">
        <f>IF(BY16&lt;&gt;"",AVERAGE($E$16:BY16),"")</f>
        <v>60.703703703703702</v>
      </c>
      <c r="BZ17" s="111">
        <f>IF(BZ16&lt;&gt;"",AVERAGE($E$16:BZ16),"")</f>
        <v>62.4</v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62.4</v>
      </c>
      <c r="EF17" s="126"/>
    </row>
    <row r="18" spans="1:136" ht="14.4" thickBot="1" x14ac:dyDescent="0.3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 x14ac:dyDescent="0.25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>
        <v>1</v>
      </c>
      <c r="BD19" s="57"/>
      <c r="BE19" s="57"/>
      <c r="BF19" s="58"/>
      <c r="BG19" s="59"/>
      <c r="BH19" s="57">
        <v>1</v>
      </c>
      <c r="BI19" s="57"/>
      <c r="BJ19" s="57"/>
      <c r="BK19" s="58"/>
      <c r="BL19" s="59"/>
      <c r="BM19" s="57">
        <v>0</v>
      </c>
      <c r="BN19" s="57"/>
      <c r="BO19" s="57"/>
      <c r="BP19" s="58"/>
      <c r="BQ19" s="59"/>
      <c r="BR19" s="57">
        <v>0</v>
      </c>
      <c r="BS19" s="57"/>
      <c r="BT19" s="57"/>
      <c r="BU19" s="58"/>
      <c r="BV19" s="59"/>
      <c r="BW19" s="57">
        <v>1</v>
      </c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15</v>
      </c>
      <c r="EF19" s="114"/>
    </row>
    <row r="20" spans="1:136" ht="13.8" x14ac:dyDescent="0.25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>
        <v>0</v>
      </c>
      <c r="BD20" s="3"/>
      <c r="BE20" s="3"/>
      <c r="BF20" s="1"/>
      <c r="BG20" s="2"/>
      <c r="BH20" s="3">
        <v>1</v>
      </c>
      <c r="BI20" s="3"/>
      <c r="BJ20" s="3"/>
      <c r="BK20" s="1"/>
      <c r="BL20" s="2"/>
      <c r="BM20" s="3">
        <v>0</v>
      </c>
      <c r="BN20" s="3"/>
      <c r="BO20" s="3"/>
      <c r="BP20" s="1"/>
      <c r="BQ20" s="2"/>
      <c r="BR20" s="3">
        <v>0</v>
      </c>
      <c r="BS20" s="3"/>
      <c r="BT20" s="3"/>
      <c r="BU20" s="1"/>
      <c r="BV20" s="2"/>
      <c r="BW20" s="3">
        <v>1</v>
      </c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3</v>
      </c>
      <c r="EF20" s="116">
        <f>SUM(EE19-EE20)</f>
        <v>12</v>
      </c>
    </row>
    <row r="21" spans="1:136" ht="13.8" x14ac:dyDescent="0.25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>
        <v>0</v>
      </c>
      <c r="BD21" s="3"/>
      <c r="BE21" s="3"/>
      <c r="BF21" s="1"/>
      <c r="BG21" s="2"/>
      <c r="BH21" s="3">
        <v>1</v>
      </c>
      <c r="BI21" s="3"/>
      <c r="BJ21" s="3"/>
      <c r="BK21" s="1"/>
      <c r="BL21" s="2"/>
      <c r="BM21" s="3">
        <v>0</v>
      </c>
      <c r="BN21" s="3"/>
      <c r="BO21" s="3"/>
      <c r="BP21" s="1"/>
      <c r="BQ21" s="2"/>
      <c r="BR21" s="3">
        <v>0</v>
      </c>
      <c r="BS21" s="3"/>
      <c r="BT21" s="3"/>
      <c r="BU21" s="1"/>
      <c r="BV21" s="2"/>
      <c r="BW21" s="3">
        <v>4</v>
      </c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6</v>
      </c>
      <c r="EF21" s="117"/>
    </row>
    <row r="22" spans="1:136" ht="13.8" x14ac:dyDescent="0.25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>
        <v>0</v>
      </c>
      <c r="BD22" s="3"/>
      <c r="BE22" s="3"/>
      <c r="BF22" s="1"/>
      <c r="BG22" s="2"/>
      <c r="BH22" s="3">
        <v>0</v>
      </c>
      <c r="BI22" s="3"/>
      <c r="BJ22" s="3"/>
      <c r="BK22" s="1"/>
      <c r="BL22" s="2"/>
      <c r="BM22" s="3">
        <v>1</v>
      </c>
      <c r="BN22" s="3"/>
      <c r="BO22" s="3"/>
      <c r="BP22" s="1"/>
      <c r="BQ22" s="2"/>
      <c r="BR22" s="3">
        <v>2</v>
      </c>
      <c r="BS22" s="3"/>
      <c r="BT22" s="3"/>
      <c r="BU22" s="1"/>
      <c r="BV22" s="2"/>
      <c r="BW22" s="3">
        <v>2</v>
      </c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14</v>
      </c>
      <c r="EF22" s="117"/>
    </row>
    <row r="23" spans="1:136" ht="13.8" x14ac:dyDescent="0.25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>
        <v>4</v>
      </c>
      <c r="BD23" s="3"/>
      <c r="BE23" s="3"/>
      <c r="BF23" s="1"/>
      <c r="BG23" s="2"/>
      <c r="BH23" s="3">
        <v>3</v>
      </c>
      <c r="BI23" s="3"/>
      <c r="BJ23" s="3"/>
      <c r="BK23" s="1"/>
      <c r="BL23" s="2"/>
      <c r="BM23" s="3">
        <v>3</v>
      </c>
      <c r="BN23" s="3"/>
      <c r="BO23" s="3"/>
      <c r="BP23" s="1"/>
      <c r="BQ23" s="2"/>
      <c r="BR23" s="3">
        <v>4</v>
      </c>
      <c r="BS23" s="3"/>
      <c r="BT23" s="3"/>
      <c r="BU23" s="1"/>
      <c r="BV23" s="2"/>
      <c r="BW23" s="3">
        <v>4</v>
      </c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52</v>
      </c>
      <c r="EF23" s="117"/>
    </row>
    <row r="24" spans="1:136" ht="13.8" x14ac:dyDescent="0.25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>
        <v>122</v>
      </c>
      <c r="BD24" s="3">
        <v>92</v>
      </c>
      <c r="BE24" s="3">
        <v>0</v>
      </c>
      <c r="BF24" s="1">
        <v>109</v>
      </c>
      <c r="BG24" s="2"/>
      <c r="BH24" s="3">
        <v>113</v>
      </c>
      <c r="BI24" s="3">
        <v>0</v>
      </c>
      <c r="BJ24" s="3">
        <v>39</v>
      </c>
      <c r="BK24" s="1"/>
      <c r="BL24" s="2"/>
      <c r="BM24" s="3">
        <v>2</v>
      </c>
      <c r="BN24" s="3">
        <v>121</v>
      </c>
      <c r="BO24" s="3">
        <v>28</v>
      </c>
      <c r="BP24" s="1"/>
      <c r="BQ24" s="2"/>
      <c r="BR24" s="3">
        <v>94</v>
      </c>
      <c r="BS24" s="3">
        <v>14</v>
      </c>
      <c r="BT24" s="3">
        <v>62</v>
      </c>
      <c r="BU24" s="1">
        <v>83</v>
      </c>
      <c r="BV24" s="2"/>
      <c r="BW24" s="3">
        <v>37</v>
      </c>
      <c r="BX24" s="3">
        <v>0</v>
      </c>
      <c r="BY24" s="3">
        <v>24</v>
      </c>
      <c r="BZ24" s="1">
        <v>64</v>
      </c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2012</v>
      </c>
      <c r="EF24" s="117"/>
    </row>
    <row r="25" spans="1:136" ht="13.8" x14ac:dyDescent="0.25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>
        <f>IF(BC24&lt;&gt;"",AVERAGE($E24:BC24),"")</f>
        <v>32.285714285714285</v>
      </c>
      <c r="BD25" s="84">
        <f>IF(BD24&lt;&gt;"",AVERAGE($E24:BD24),"")</f>
        <v>33.944444444444443</v>
      </c>
      <c r="BE25" s="84">
        <f>IF(BE24&lt;&gt;"",AVERAGE($E24:BE24),"")</f>
        <v>33.027027027027025</v>
      </c>
      <c r="BF25" s="84">
        <f>IF(BF24&lt;&gt;"",AVERAGE($E24:BF24),"")</f>
        <v>35.026315789473685</v>
      </c>
      <c r="BG25" s="129" t="str">
        <f>IF(BG24&lt;&gt;"",AVERAGE($E24:BG24),"")</f>
        <v/>
      </c>
      <c r="BH25" s="84">
        <f>IF(BH24&lt;&gt;"",AVERAGE($E24:BH24),"")</f>
        <v>37.025641025641029</v>
      </c>
      <c r="BI25" s="84">
        <f>IF(BI24&lt;&gt;"",AVERAGE($E24:BI24),"")</f>
        <v>36.1</v>
      </c>
      <c r="BJ25" s="84">
        <f>IF(BJ24&lt;&gt;"",AVERAGE($E24:BJ24),"")</f>
        <v>36.170731707317074</v>
      </c>
      <c r="BK25" s="84" t="str">
        <f>IF(BK24&lt;&gt;"",AVERAGE($E24:BK24),"")</f>
        <v/>
      </c>
      <c r="BL25" s="129" t="str">
        <f>IF(BL24&lt;&gt;"",AVERAGE($E24:BL24),"")</f>
        <v/>
      </c>
      <c r="BM25" s="84">
        <f>IF(BM24&lt;&gt;"",AVERAGE($E24:BM24),"")</f>
        <v>35.357142857142854</v>
      </c>
      <c r="BN25" s="84">
        <f>IF(BN24&lt;&gt;"",AVERAGE($E24:BN24),"")</f>
        <v>37.348837209302324</v>
      </c>
      <c r="BO25" s="84">
        <f>IF(BO24&lt;&gt;"",AVERAGE($E24:BO24),"")</f>
        <v>37.136363636363633</v>
      </c>
      <c r="BP25" s="84" t="str">
        <f>IF(BP24&lt;&gt;"",AVERAGE($E24:BP24),"")</f>
        <v/>
      </c>
      <c r="BQ25" s="129" t="str">
        <f>IF(BQ24&lt;&gt;"",AVERAGE($E24:BQ24),"")</f>
        <v/>
      </c>
      <c r="BR25" s="84">
        <f>IF(BR24&lt;&gt;"",AVERAGE($E24:BR24),"")</f>
        <v>38.4</v>
      </c>
      <c r="BS25" s="84">
        <f>IF(BS24&lt;&gt;"",AVERAGE($E24:BS24),"")</f>
        <v>37.869565217391305</v>
      </c>
      <c r="BT25" s="84">
        <f>IF(BT24&lt;&gt;"",AVERAGE($E24:BT24),"")</f>
        <v>38.382978723404257</v>
      </c>
      <c r="BU25" s="84">
        <f>IF(BU24&lt;&gt;"",AVERAGE($E24:BU24),"")</f>
        <v>39.3125</v>
      </c>
      <c r="BV25" s="129" t="str">
        <f>IF(BV24&lt;&gt;"",AVERAGE($E24:BV24),"")</f>
        <v/>
      </c>
      <c r="BW25" s="84">
        <f>IF(BW24&lt;&gt;"",AVERAGE($E24:BW24),"")</f>
        <v>39.265306122448976</v>
      </c>
      <c r="BX25" s="84">
        <f>IF(BX24&lt;&gt;"",AVERAGE($E24:BX24),"")</f>
        <v>38.479999999999997</v>
      </c>
      <c r="BY25" s="84">
        <f>IF(BY24&lt;&gt;"",AVERAGE($E24:BY24),"")</f>
        <v>38.196078431372548</v>
      </c>
      <c r="BZ25" s="84">
        <f>IF(BZ24&lt;&gt;"",AVERAGE($E24:BZ24),"")</f>
        <v>38.692307692307693</v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38.692307692307693</v>
      </c>
      <c r="EF25" s="119"/>
    </row>
    <row r="26" spans="1:136" ht="14.4" thickBot="1" x14ac:dyDescent="0.3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 x14ac:dyDescent="0.25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>
        <v>0</v>
      </c>
      <c r="BD27" s="24"/>
      <c r="BE27" s="24"/>
      <c r="BF27" s="24"/>
      <c r="BG27" s="25"/>
      <c r="BH27" s="24">
        <v>0</v>
      </c>
      <c r="BI27" s="24"/>
      <c r="BJ27" s="24"/>
      <c r="BK27" s="24"/>
      <c r="BL27" s="25"/>
      <c r="BM27" s="24">
        <v>0</v>
      </c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 x14ac:dyDescent="0.25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>
        <v>0</v>
      </c>
      <c r="BD28" s="26"/>
      <c r="BE28" s="26"/>
      <c r="BF28" s="26"/>
      <c r="BG28" s="27"/>
      <c r="BH28" s="26">
        <v>0</v>
      </c>
      <c r="BI28" s="26"/>
      <c r="BJ28" s="26"/>
      <c r="BK28" s="26"/>
      <c r="BL28" s="27"/>
      <c r="BM28" s="26">
        <v>1</v>
      </c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4</v>
      </c>
      <c r="EF28" s="116">
        <f>SUM(EE27-EE28)</f>
        <v>-1</v>
      </c>
    </row>
    <row r="29" spans="1:136" ht="13.8" x14ac:dyDescent="0.25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>
        <v>0</v>
      </c>
      <c r="BD29" s="26"/>
      <c r="BE29" s="26"/>
      <c r="BF29" s="26"/>
      <c r="BG29" s="27"/>
      <c r="BH29" s="26">
        <v>0</v>
      </c>
      <c r="BI29" s="26"/>
      <c r="BJ29" s="26"/>
      <c r="BK29" s="26"/>
      <c r="BL29" s="27"/>
      <c r="BM29" s="26">
        <v>1</v>
      </c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5</v>
      </c>
      <c r="EF29" s="119"/>
    </row>
    <row r="30" spans="1:136" ht="13.8" x14ac:dyDescent="0.25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>
        <v>0</v>
      </c>
      <c r="BD30" s="26"/>
      <c r="BE30" s="26"/>
      <c r="BF30" s="26"/>
      <c r="BG30" s="27"/>
      <c r="BH30" s="26">
        <v>1</v>
      </c>
      <c r="BI30" s="26"/>
      <c r="BJ30" s="26"/>
      <c r="BK30" s="26"/>
      <c r="BL30" s="27"/>
      <c r="BM30" s="26">
        <v>1</v>
      </c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6</v>
      </c>
      <c r="EF30" s="119"/>
    </row>
    <row r="31" spans="1:136" ht="13.8" x14ac:dyDescent="0.25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>
        <v>4</v>
      </c>
      <c r="BD31" s="26"/>
      <c r="BE31" s="26"/>
      <c r="BF31" s="26"/>
      <c r="BG31" s="27"/>
      <c r="BH31" s="26">
        <v>3</v>
      </c>
      <c r="BI31" s="26"/>
      <c r="BJ31" s="26"/>
      <c r="BK31" s="26"/>
      <c r="BL31" s="27"/>
      <c r="BM31" s="26">
        <v>3</v>
      </c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36</v>
      </c>
      <c r="EF31" s="119"/>
    </row>
    <row r="32" spans="1:136" ht="13.8" x14ac:dyDescent="0.25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>
        <v>132</v>
      </c>
      <c r="BD32" s="26">
        <v>78</v>
      </c>
      <c r="BE32" s="26">
        <v>133</v>
      </c>
      <c r="BF32" s="26">
        <v>133</v>
      </c>
      <c r="BG32" s="27"/>
      <c r="BH32" s="26">
        <v>54</v>
      </c>
      <c r="BI32" s="26">
        <v>40</v>
      </c>
      <c r="BJ32" s="26">
        <v>42</v>
      </c>
      <c r="BK32" s="26"/>
      <c r="BL32" s="27"/>
      <c r="BM32" s="26">
        <v>72</v>
      </c>
      <c r="BN32" s="26">
        <v>75</v>
      </c>
      <c r="BO32" s="26">
        <v>16</v>
      </c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2226</v>
      </c>
      <c r="EF32" s="119"/>
    </row>
    <row r="33" spans="1:136" ht="13.8" x14ac:dyDescent="0.25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>
        <f>IF(BC32&lt;&gt;"",AVERAGE($E32:BC32),"")</f>
        <v>58.629629629629626</v>
      </c>
      <c r="BD33" s="111">
        <f>IF(BD32&lt;&gt;"",AVERAGE($E32:BD32),"")</f>
        <v>59.321428571428569</v>
      </c>
      <c r="BE33" s="111">
        <f>IF(BE32&lt;&gt;"",AVERAGE($E32:BE32),"")</f>
        <v>61.862068965517238</v>
      </c>
      <c r="BF33" s="111">
        <f>IF(BF32&lt;&gt;"",AVERAGE($E32:BF32),"")</f>
        <v>64.233333333333334</v>
      </c>
      <c r="BG33" s="112" t="str">
        <f>IF(BG32&lt;&gt;"",AVERAGE($E32:BG32),"")</f>
        <v/>
      </c>
      <c r="BH33" s="111">
        <f>IF(BH32&lt;&gt;"",AVERAGE($E32:BH32),"")</f>
        <v>63.903225806451616</v>
      </c>
      <c r="BI33" s="111">
        <f>IF(BI32&lt;&gt;"",AVERAGE($E32:BI32),"")</f>
        <v>63.15625</v>
      </c>
      <c r="BJ33" s="111">
        <f>IF(BJ32&lt;&gt;"",AVERAGE($E32:BJ32),"")</f>
        <v>62.515151515151516</v>
      </c>
      <c r="BK33" s="111" t="str">
        <f>IF(BK32&lt;&gt;"",AVERAGE($E32:BK32),"")</f>
        <v/>
      </c>
      <c r="BL33" s="112" t="str">
        <f>IF(BL32&lt;&gt;"",AVERAGE($E32:BL32),"")</f>
        <v/>
      </c>
      <c r="BM33" s="111">
        <f>IF(BM32&lt;&gt;"",AVERAGE($E32:BM32),"")</f>
        <v>62.794117647058826</v>
      </c>
      <c r="BN33" s="111">
        <f>IF(BN32&lt;&gt;"",AVERAGE($E32:BN32),"")</f>
        <v>63.142857142857146</v>
      </c>
      <c r="BO33" s="111">
        <f>IF(BO32&lt;&gt;"",AVERAGE($E32:BO32),"")</f>
        <v>61.833333333333336</v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61.833333333333336</v>
      </c>
      <c r="EF33" s="126"/>
    </row>
    <row r="34" spans="1:136" ht="14.4" thickBot="1" x14ac:dyDescent="0.3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 x14ac:dyDescent="0.25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>
        <v>1</v>
      </c>
      <c r="BD35" s="57"/>
      <c r="BE35" s="57"/>
      <c r="BF35" s="58"/>
      <c r="BG35" s="59"/>
      <c r="BH35" s="57">
        <v>0</v>
      </c>
      <c r="BI35" s="57"/>
      <c r="BJ35" s="57"/>
      <c r="BK35" s="58"/>
      <c r="BL35" s="59"/>
      <c r="BM35" s="57">
        <v>1</v>
      </c>
      <c r="BN35" s="57"/>
      <c r="BO35" s="57"/>
      <c r="BP35" s="58"/>
      <c r="BQ35" s="59"/>
      <c r="BR35" s="57">
        <v>1</v>
      </c>
      <c r="BS35" s="57"/>
      <c r="BT35" s="57"/>
      <c r="BU35" s="58"/>
      <c r="BV35" s="59"/>
      <c r="BW35" s="57">
        <v>2</v>
      </c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18</v>
      </c>
      <c r="EF35" s="114"/>
    </row>
    <row r="36" spans="1:136" ht="13.8" x14ac:dyDescent="0.25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>
        <v>0</v>
      </c>
      <c r="BD36" s="3"/>
      <c r="BE36" s="3"/>
      <c r="BF36" s="1"/>
      <c r="BG36" s="2"/>
      <c r="BH36" s="3">
        <v>1</v>
      </c>
      <c r="BI36" s="3"/>
      <c r="BJ36" s="3"/>
      <c r="BK36" s="1"/>
      <c r="BL36" s="2"/>
      <c r="BM36" s="3">
        <v>0</v>
      </c>
      <c r="BN36" s="3"/>
      <c r="BO36" s="3"/>
      <c r="BP36" s="1"/>
      <c r="BQ36" s="2"/>
      <c r="BR36" s="3">
        <v>0</v>
      </c>
      <c r="BS36" s="3"/>
      <c r="BT36" s="3"/>
      <c r="BU36" s="1"/>
      <c r="BV36" s="2"/>
      <c r="BW36" s="3">
        <v>1</v>
      </c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5</v>
      </c>
      <c r="EF36" s="116">
        <f>SUM(EE35-EE36)</f>
        <v>13</v>
      </c>
    </row>
    <row r="37" spans="1:136" ht="13.8" x14ac:dyDescent="0.25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>
        <v>0</v>
      </c>
      <c r="BD37" s="3"/>
      <c r="BE37" s="3"/>
      <c r="BF37" s="1"/>
      <c r="BG37" s="2"/>
      <c r="BH37" s="3">
        <v>1</v>
      </c>
      <c r="BI37" s="3"/>
      <c r="BJ37" s="3"/>
      <c r="BK37" s="1"/>
      <c r="BL37" s="2"/>
      <c r="BM37" s="3">
        <v>0</v>
      </c>
      <c r="BN37" s="3"/>
      <c r="BO37" s="3"/>
      <c r="BP37" s="1"/>
      <c r="BQ37" s="2"/>
      <c r="BR37" s="3">
        <v>0</v>
      </c>
      <c r="BS37" s="3"/>
      <c r="BT37" s="3"/>
      <c r="BU37" s="1"/>
      <c r="BV37" s="2"/>
      <c r="BW37" s="3">
        <v>1</v>
      </c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7</v>
      </c>
      <c r="EF37" s="117"/>
    </row>
    <row r="38" spans="1:136" ht="13.8" x14ac:dyDescent="0.25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>
        <v>0</v>
      </c>
      <c r="BD38" s="3"/>
      <c r="BE38" s="3"/>
      <c r="BF38" s="1"/>
      <c r="BG38" s="2"/>
      <c r="BH38" s="3">
        <v>0</v>
      </c>
      <c r="BI38" s="3"/>
      <c r="BJ38" s="3"/>
      <c r="BK38" s="1"/>
      <c r="BL38" s="2"/>
      <c r="BM38" s="3">
        <v>2</v>
      </c>
      <c r="BN38" s="3"/>
      <c r="BO38" s="3"/>
      <c r="BP38" s="1"/>
      <c r="BQ38" s="2"/>
      <c r="BR38" s="3">
        <v>1</v>
      </c>
      <c r="BS38" s="3"/>
      <c r="BT38" s="3"/>
      <c r="BU38" s="1"/>
      <c r="BV38" s="2"/>
      <c r="BW38" s="3">
        <v>2</v>
      </c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15</v>
      </c>
      <c r="EF38" s="117"/>
    </row>
    <row r="39" spans="1:136" ht="13.8" x14ac:dyDescent="0.25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>
        <v>3</v>
      </c>
      <c r="BD39" s="3"/>
      <c r="BE39" s="3"/>
      <c r="BF39" s="1"/>
      <c r="BG39" s="2"/>
      <c r="BH39" s="3">
        <v>3</v>
      </c>
      <c r="BI39" s="3"/>
      <c r="BJ39" s="3"/>
      <c r="BK39" s="1"/>
      <c r="BL39" s="2"/>
      <c r="BM39" s="3">
        <v>3</v>
      </c>
      <c r="BN39" s="3"/>
      <c r="BO39" s="3"/>
      <c r="BP39" s="1"/>
      <c r="BQ39" s="2"/>
      <c r="BR39" s="3">
        <v>4</v>
      </c>
      <c r="BS39" s="3"/>
      <c r="BT39" s="3"/>
      <c r="BU39" s="1"/>
      <c r="BV39" s="2"/>
      <c r="BW39" s="3">
        <v>4</v>
      </c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54</v>
      </c>
      <c r="EF39" s="117"/>
    </row>
    <row r="40" spans="1:136" ht="13.8" x14ac:dyDescent="0.25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>
        <v>0</v>
      </c>
      <c r="BD40" s="3"/>
      <c r="BE40" s="3">
        <v>61</v>
      </c>
      <c r="BF40" s="1">
        <v>135</v>
      </c>
      <c r="BG40" s="2"/>
      <c r="BH40" s="3">
        <v>35</v>
      </c>
      <c r="BI40" s="3">
        <v>142</v>
      </c>
      <c r="BJ40" s="3">
        <v>51</v>
      </c>
      <c r="BK40" s="1"/>
      <c r="BL40" s="2"/>
      <c r="BM40" s="3">
        <v>0</v>
      </c>
      <c r="BN40" s="3">
        <v>56</v>
      </c>
      <c r="BO40" s="3">
        <v>36</v>
      </c>
      <c r="BP40" s="1"/>
      <c r="BQ40" s="2"/>
      <c r="BR40" s="3">
        <v>5</v>
      </c>
      <c r="BS40" s="3">
        <v>0</v>
      </c>
      <c r="BT40" s="3">
        <v>44</v>
      </c>
      <c r="BU40" s="1">
        <v>78</v>
      </c>
      <c r="BV40" s="2"/>
      <c r="BW40" s="3">
        <v>0</v>
      </c>
      <c r="BX40" s="3">
        <v>23</v>
      </c>
      <c r="BY40" s="3">
        <v>0</v>
      </c>
      <c r="BZ40" s="1">
        <v>185</v>
      </c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2642</v>
      </c>
      <c r="EF40" s="117"/>
    </row>
    <row r="41" spans="1:136" ht="13.8" x14ac:dyDescent="0.25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>
        <f>IF(BC40&lt;&gt;"",AVERAGE($E40:BC40),"")</f>
        <v>47.131578947368418</v>
      </c>
      <c r="BD41" s="84" t="str">
        <f>IF(BD40&lt;&gt;"",AVERAGE($E40:BD40),"")</f>
        <v/>
      </c>
      <c r="BE41" s="84">
        <f>IF(BE40&lt;&gt;"",AVERAGE($E40:BE40),"")</f>
        <v>47.487179487179489</v>
      </c>
      <c r="BF41" s="84">
        <f>IF(BF40&lt;&gt;"",AVERAGE($E40:BF40),"")</f>
        <v>49.674999999999997</v>
      </c>
      <c r="BG41" s="129" t="str">
        <f>IF(BG40&lt;&gt;"",AVERAGE($E40:BG40),"")</f>
        <v/>
      </c>
      <c r="BH41" s="84">
        <f>IF(BH40&lt;&gt;"",AVERAGE($E40:BH40),"")</f>
        <v>49.31707317073171</v>
      </c>
      <c r="BI41" s="84">
        <f>IF(BI40&lt;&gt;"",AVERAGE($E40:BI40),"")</f>
        <v>51.523809523809526</v>
      </c>
      <c r="BJ41" s="84">
        <f>IF(BJ40&lt;&gt;"",AVERAGE($E40:BJ40),"")</f>
        <v>51.511627906976742</v>
      </c>
      <c r="BK41" s="84" t="str">
        <f>IF(BK40&lt;&gt;"",AVERAGE($E40:BK40),"")</f>
        <v/>
      </c>
      <c r="BL41" s="129" t="str">
        <f>IF(BL40&lt;&gt;"",AVERAGE($E40:BL40),"")</f>
        <v/>
      </c>
      <c r="BM41" s="84">
        <f>IF(BM40&lt;&gt;"",AVERAGE($E40:BM40),"")</f>
        <v>50.340909090909093</v>
      </c>
      <c r="BN41" s="84">
        <f>IF(BN40&lt;&gt;"",AVERAGE($E40:BN40),"")</f>
        <v>50.466666666666669</v>
      </c>
      <c r="BO41" s="84">
        <f>IF(BO40&lt;&gt;"",AVERAGE($E40:BO40),"")</f>
        <v>50.152173913043477</v>
      </c>
      <c r="BP41" s="84" t="str">
        <f>IF(BP40&lt;&gt;"",AVERAGE($E40:BP40),"")</f>
        <v/>
      </c>
      <c r="BQ41" s="129" t="str">
        <f>IF(BQ40&lt;&gt;"",AVERAGE($E40:BQ40),"")</f>
        <v/>
      </c>
      <c r="BR41" s="84">
        <f>IF(BR40&lt;&gt;"",AVERAGE($E40:BR40),"")</f>
        <v>49.191489361702125</v>
      </c>
      <c r="BS41" s="84">
        <f>IF(BS40&lt;&gt;"",AVERAGE($E40:BS40),"")</f>
        <v>48.166666666666664</v>
      </c>
      <c r="BT41" s="84">
        <f>IF(BT40&lt;&gt;"",AVERAGE($E40:BT40),"")</f>
        <v>48.081632653061227</v>
      </c>
      <c r="BU41" s="84">
        <f>IF(BU40&lt;&gt;"",AVERAGE($E40:BU40),"")</f>
        <v>48.68</v>
      </c>
      <c r="BV41" s="129" t="str">
        <f>IF(BV40&lt;&gt;"",AVERAGE($E40:BV40),"")</f>
        <v/>
      </c>
      <c r="BW41" s="84">
        <f>IF(BW40&lt;&gt;"",AVERAGE($E40:BW40),"")</f>
        <v>47.725490196078432</v>
      </c>
      <c r="BX41" s="84">
        <f>IF(BX40&lt;&gt;"",AVERAGE($E40:BX40),"")</f>
        <v>47.25</v>
      </c>
      <c r="BY41" s="84">
        <f>IF(BY40&lt;&gt;"",AVERAGE($E40:BY40),"")</f>
        <v>46.358490566037737</v>
      </c>
      <c r="BZ41" s="84">
        <f>IF(BZ40&lt;&gt;"",AVERAGE($E40:BZ40),"")</f>
        <v>48.925925925925924</v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48.925925925925924</v>
      </c>
      <c r="EF41" s="119"/>
    </row>
    <row r="42" spans="1:136" ht="14.4" thickBot="1" x14ac:dyDescent="0.3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 x14ac:dyDescent="0.25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>
        <v>0</v>
      </c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 x14ac:dyDescent="0.25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>
        <v>2</v>
      </c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4</v>
      </c>
      <c r="EF44" s="116">
        <f>SUM(EE43-EE44)</f>
        <v>-3</v>
      </c>
    </row>
    <row r="45" spans="1:136" ht="13.8" x14ac:dyDescent="0.25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>
        <v>2</v>
      </c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5</v>
      </c>
      <c r="EF45" s="119"/>
    </row>
    <row r="46" spans="1:136" ht="13.8" x14ac:dyDescent="0.25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>
        <v>1</v>
      </c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5</v>
      </c>
      <c r="EF46" s="119"/>
    </row>
    <row r="47" spans="1:136" ht="13.8" x14ac:dyDescent="0.25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>
        <v>4</v>
      </c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17</v>
      </c>
      <c r="EF47" s="119"/>
    </row>
    <row r="48" spans="1:136" ht="13.8" x14ac:dyDescent="0.25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>
        <v>104</v>
      </c>
      <c r="BS48" s="26">
        <v>38</v>
      </c>
      <c r="BT48" s="26">
        <v>20</v>
      </c>
      <c r="BU48" s="26">
        <v>251</v>
      </c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1239</v>
      </c>
      <c r="EF48" s="119"/>
    </row>
    <row r="49" spans="1:136" ht="13.8" x14ac:dyDescent="0.25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>
        <f>IF(BR48&lt;&gt;"",AVERAGE($E48:BR48),"")</f>
        <v>66.428571428571431</v>
      </c>
      <c r="BS49" s="111">
        <f>IF(BS48&lt;&gt;"",AVERAGE($E48:BS48),"")</f>
        <v>64.533333333333331</v>
      </c>
      <c r="BT49" s="111">
        <f>IF(BT48&lt;&gt;"",AVERAGE($E48:BT48),"")</f>
        <v>61.75</v>
      </c>
      <c r="BU49" s="111">
        <f>IF(BU48&lt;&gt;"",AVERAGE($E48:BU48),"")</f>
        <v>72.882352941176464</v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72.882352941176464</v>
      </c>
      <c r="EF49" s="126"/>
    </row>
    <row r="50" spans="1:136" ht="14.4" thickBot="1" x14ac:dyDescent="0.3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 x14ac:dyDescent="0.25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>
        <v>0</v>
      </c>
      <c r="BD51" s="57"/>
      <c r="BE51" s="57"/>
      <c r="BF51" s="58"/>
      <c r="BG51" s="59"/>
      <c r="BH51" s="57">
        <v>1</v>
      </c>
      <c r="BI51" s="57"/>
      <c r="BJ51" s="57"/>
      <c r="BK51" s="58"/>
      <c r="BL51" s="59"/>
      <c r="BM51" s="57">
        <v>1</v>
      </c>
      <c r="BN51" s="57"/>
      <c r="BO51" s="57"/>
      <c r="BP51" s="58"/>
      <c r="BQ51" s="59"/>
      <c r="BR51" s="57">
        <v>0</v>
      </c>
      <c r="BS51" s="57"/>
      <c r="BT51" s="57"/>
      <c r="BU51" s="58"/>
      <c r="BV51" s="59"/>
      <c r="BW51" s="57">
        <v>3</v>
      </c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6</v>
      </c>
      <c r="EF51" s="114"/>
    </row>
    <row r="52" spans="1:136" ht="13.8" x14ac:dyDescent="0.25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>
        <v>1</v>
      </c>
      <c r="BD52" s="3"/>
      <c r="BE52" s="3"/>
      <c r="BF52" s="1"/>
      <c r="BG52" s="2"/>
      <c r="BH52" s="3">
        <v>1</v>
      </c>
      <c r="BI52" s="3"/>
      <c r="BJ52" s="3"/>
      <c r="BK52" s="1"/>
      <c r="BL52" s="2"/>
      <c r="BM52" s="3">
        <v>0</v>
      </c>
      <c r="BN52" s="3"/>
      <c r="BO52" s="3"/>
      <c r="BP52" s="1"/>
      <c r="BQ52" s="2"/>
      <c r="BR52" s="3">
        <v>0</v>
      </c>
      <c r="BS52" s="3"/>
      <c r="BT52" s="3"/>
      <c r="BU52" s="1"/>
      <c r="BV52" s="2"/>
      <c r="BW52" s="3">
        <v>0</v>
      </c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10</v>
      </c>
      <c r="EF52" s="116">
        <f>SUM(EE51-EE52)</f>
        <v>-4</v>
      </c>
    </row>
    <row r="53" spans="1:136" ht="13.8" x14ac:dyDescent="0.25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>
        <v>1</v>
      </c>
      <c r="BD53" s="3"/>
      <c r="BE53" s="3"/>
      <c r="BF53" s="1"/>
      <c r="BG53" s="2"/>
      <c r="BH53" s="3">
        <v>1</v>
      </c>
      <c r="BI53" s="3"/>
      <c r="BJ53" s="3"/>
      <c r="BK53" s="1"/>
      <c r="BL53" s="2"/>
      <c r="BM53" s="3">
        <v>0</v>
      </c>
      <c r="BN53" s="3"/>
      <c r="BO53" s="3"/>
      <c r="BP53" s="1"/>
      <c r="BQ53" s="2"/>
      <c r="BR53" s="3">
        <v>0</v>
      </c>
      <c r="BS53" s="3"/>
      <c r="BT53" s="3"/>
      <c r="BU53" s="1"/>
      <c r="BV53" s="2"/>
      <c r="BW53" s="3">
        <v>0</v>
      </c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15</v>
      </c>
      <c r="EF53" s="117"/>
    </row>
    <row r="54" spans="1:136" ht="13.8" x14ac:dyDescent="0.25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>
        <v>2</v>
      </c>
      <c r="BD54" s="3"/>
      <c r="BE54" s="3"/>
      <c r="BF54" s="1"/>
      <c r="BG54" s="2"/>
      <c r="BH54" s="3">
        <v>0</v>
      </c>
      <c r="BI54" s="3"/>
      <c r="BJ54" s="3"/>
      <c r="BK54" s="1"/>
      <c r="BL54" s="2"/>
      <c r="BM54" s="3">
        <v>0</v>
      </c>
      <c r="BN54" s="3"/>
      <c r="BO54" s="3"/>
      <c r="BP54" s="1"/>
      <c r="BQ54" s="2"/>
      <c r="BR54" s="3">
        <v>0</v>
      </c>
      <c r="BS54" s="3"/>
      <c r="BT54" s="3"/>
      <c r="BU54" s="1"/>
      <c r="BV54" s="2"/>
      <c r="BW54" s="3">
        <v>1</v>
      </c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9</v>
      </c>
      <c r="EF54" s="117"/>
    </row>
    <row r="55" spans="1:136" ht="13.8" x14ac:dyDescent="0.25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>
        <v>3</v>
      </c>
      <c r="BD55" s="3"/>
      <c r="BE55" s="3"/>
      <c r="BF55" s="1"/>
      <c r="BG55" s="2"/>
      <c r="BH55" s="3">
        <v>3</v>
      </c>
      <c r="BI55" s="3"/>
      <c r="BJ55" s="3"/>
      <c r="BK55" s="1"/>
      <c r="BL55" s="2"/>
      <c r="BM55" s="3">
        <v>2</v>
      </c>
      <c r="BN55" s="3"/>
      <c r="BO55" s="3"/>
      <c r="BP55" s="1"/>
      <c r="BQ55" s="2"/>
      <c r="BR55" s="3">
        <v>4</v>
      </c>
      <c r="BS55" s="3"/>
      <c r="BT55" s="3"/>
      <c r="BU55" s="1"/>
      <c r="BV55" s="2"/>
      <c r="BW55" s="3">
        <v>4</v>
      </c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49</v>
      </c>
      <c r="EF55" s="117"/>
    </row>
    <row r="56" spans="1:136" ht="13.8" x14ac:dyDescent="0.25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>
        <v>150</v>
      </c>
      <c r="BD56" s="3">
        <v>5</v>
      </c>
      <c r="BE56" s="3">
        <v>168</v>
      </c>
      <c r="BF56" s="1"/>
      <c r="BG56" s="2"/>
      <c r="BH56" s="3">
        <v>0</v>
      </c>
      <c r="BI56" s="3">
        <v>46</v>
      </c>
      <c r="BJ56" s="3">
        <v>170</v>
      </c>
      <c r="BK56" s="1"/>
      <c r="BL56" s="2"/>
      <c r="BM56" s="3">
        <v>22</v>
      </c>
      <c r="BN56" s="3">
        <v>0</v>
      </c>
      <c r="BO56" s="3"/>
      <c r="BP56" s="1"/>
      <c r="BQ56" s="2"/>
      <c r="BR56" s="3">
        <v>15</v>
      </c>
      <c r="BS56" s="3">
        <v>67</v>
      </c>
      <c r="BT56" s="3">
        <v>168</v>
      </c>
      <c r="BU56" s="1">
        <v>157</v>
      </c>
      <c r="BV56" s="2"/>
      <c r="BW56" s="3">
        <v>0</v>
      </c>
      <c r="BX56" s="3">
        <v>0</v>
      </c>
      <c r="BY56" s="3">
        <v>0</v>
      </c>
      <c r="BZ56" s="1">
        <v>159</v>
      </c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3624</v>
      </c>
      <c r="EF56" s="117"/>
    </row>
    <row r="57" spans="1:136" ht="13.8" x14ac:dyDescent="0.25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>
        <f>IF(BC56&lt;&gt;"",AVERAGE($E56:BC56),"")</f>
        <v>77.852941176470594</v>
      </c>
      <c r="BD57" s="84">
        <f>IF(BD56&lt;&gt;"",AVERAGE($E56:BD56),"")</f>
        <v>75.771428571428572</v>
      </c>
      <c r="BE57" s="84">
        <f>IF(BE56&lt;&gt;"",AVERAGE($E56:BE56),"")</f>
        <v>78.333333333333329</v>
      </c>
      <c r="BF57" s="84" t="str">
        <f>IF(BF56&lt;&gt;"",AVERAGE($E56:BF56),"")</f>
        <v/>
      </c>
      <c r="BG57" s="129" t="str">
        <f>IF(BG56&lt;&gt;"",AVERAGE($E56:BG56),"")</f>
        <v/>
      </c>
      <c r="BH57" s="84">
        <f>IF(BH56&lt;&gt;"",AVERAGE($E56:BH56),"")</f>
        <v>76.21621621621621</v>
      </c>
      <c r="BI57" s="84">
        <f>IF(BI56&lt;&gt;"",AVERAGE($E56:BI56),"")</f>
        <v>75.421052631578945</v>
      </c>
      <c r="BJ57" s="84">
        <f>IF(BJ56&lt;&gt;"",AVERAGE($E56:BJ56),"")</f>
        <v>77.84615384615384</v>
      </c>
      <c r="BK57" s="84" t="str">
        <f>IF(BK56&lt;&gt;"",AVERAGE($E56:BK56),"")</f>
        <v/>
      </c>
      <c r="BL57" s="129" t="str">
        <f>IF(BL56&lt;&gt;"",AVERAGE($E56:BL56),"")</f>
        <v/>
      </c>
      <c r="BM57" s="84">
        <f>IF(BM56&lt;&gt;"",AVERAGE($E56:BM56),"")</f>
        <v>76.45</v>
      </c>
      <c r="BN57" s="84">
        <f>IF(BN56&lt;&gt;"",AVERAGE($E56:BN56),"")</f>
        <v>74.58536585365853</v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>
        <f>IF(BR56&lt;&gt;"",AVERAGE($E56:BR56),"")</f>
        <v>73.166666666666671</v>
      </c>
      <c r="BS57" s="84">
        <f>IF(BS56&lt;&gt;"",AVERAGE($E56:BS56),"")</f>
        <v>73.023255813953483</v>
      </c>
      <c r="BT57" s="84">
        <f>IF(BT56&lt;&gt;"",AVERAGE($E56:BT56),"")</f>
        <v>75.181818181818187</v>
      </c>
      <c r="BU57" s="84">
        <f>IF(BU56&lt;&gt;"",AVERAGE($E56:BU56),"")</f>
        <v>77</v>
      </c>
      <c r="BV57" s="129" t="str">
        <f>IF(BV56&lt;&gt;"",AVERAGE($E56:BV56),"")</f>
        <v/>
      </c>
      <c r="BW57" s="84">
        <f>IF(BW56&lt;&gt;"",AVERAGE($E56:BW56),"")</f>
        <v>75.326086956521735</v>
      </c>
      <c r="BX57" s="84">
        <f>IF(BX56&lt;&gt;"",AVERAGE($E56:BX56),"")</f>
        <v>73.723404255319153</v>
      </c>
      <c r="BY57" s="84">
        <f>IF(BY56&lt;&gt;"",AVERAGE($E56:BY56),"")</f>
        <v>72.1875</v>
      </c>
      <c r="BZ57" s="84">
        <f>IF(BZ56&lt;&gt;"",AVERAGE($E56:BZ56),"")</f>
        <v>73.959183673469383</v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73.959183673469383</v>
      </c>
      <c r="EF57" s="119"/>
    </row>
    <row r="58" spans="1:136" ht="14.4" thickBot="1" x14ac:dyDescent="0.3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 x14ac:dyDescent="0.25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>
        <v>0</v>
      </c>
      <c r="BD59" s="24"/>
      <c r="BE59" s="24"/>
      <c r="BF59" s="24"/>
      <c r="BG59" s="25"/>
      <c r="BH59" s="24">
        <v>0</v>
      </c>
      <c r="BI59" s="24"/>
      <c r="BJ59" s="24"/>
      <c r="BK59" s="24"/>
      <c r="BL59" s="25"/>
      <c r="BM59" s="24">
        <v>0</v>
      </c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 x14ac:dyDescent="0.25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>
        <v>1</v>
      </c>
      <c r="BD60" s="26"/>
      <c r="BE60" s="26"/>
      <c r="BF60" s="26"/>
      <c r="BG60" s="27"/>
      <c r="BH60" s="26">
        <v>0</v>
      </c>
      <c r="BI60" s="26"/>
      <c r="BJ60" s="26"/>
      <c r="BK60" s="26"/>
      <c r="BL60" s="27"/>
      <c r="BM60" s="26">
        <v>1</v>
      </c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10</v>
      </c>
      <c r="EF60" s="116">
        <f>SUM(EE59-EE60)</f>
        <v>-10</v>
      </c>
    </row>
    <row r="61" spans="1:136" ht="13.8" x14ac:dyDescent="0.25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>
        <v>1</v>
      </c>
      <c r="BD61" s="26"/>
      <c r="BE61" s="26"/>
      <c r="BF61" s="26"/>
      <c r="BG61" s="27"/>
      <c r="BH61" s="26">
        <v>0</v>
      </c>
      <c r="BI61" s="26"/>
      <c r="BJ61" s="26"/>
      <c r="BK61" s="26"/>
      <c r="BL61" s="27"/>
      <c r="BM61" s="26">
        <v>3</v>
      </c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15</v>
      </c>
      <c r="EF61" s="119"/>
    </row>
    <row r="62" spans="1:136" ht="13.8" x14ac:dyDescent="0.25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>
        <v>1</v>
      </c>
      <c r="BD62" s="26"/>
      <c r="BE62" s="26"/>
      <c r="BF62" s="26"/>
      <c r="BG62" s="27"/>
      <c r="BH62" s="26">
        <v>0</v>
      </c>
      <c r="BI62" s="26"/>
      <c r="BJ62" s="26"/>
      <c r="BK62" s="26"/>
      <c r="BL62" s="27"/>
      <c r="BM62" s="26">
        <v>0</v>
      </c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5</v>
      </c>
      <c r="EF62" s="119"/>
    </row>
    <row r="63" spans="1:136" ht="13.8" x14ac:dyDescent="0.25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>
        <v>3</v>
      </c>
      <c r="BD63" s="26"/>
      <c r="BE63" s="26"/>
      <c r="BF63" s="26"/>
      <c r="BG63" s="27"/>
      <c r="BH63" s="26">
        <v>1</v>
      </c>
      <c r="BI63" s="26"/>
      <c r="BJ63" s="26"/>
      <c r="BK63" s="26"/>
      <c r="BL63" s="27"/>
      <c r="BM63" s="26">
        <v>1</v>
      </c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31</v>
      </c>
      <c r="EF63" s="119"/>
    </row>
    <row r="64" spans="1:136" ht="13.8" x14ac:dyDescent="0.25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>
        <v>24</v>
      </c>
      <c r="BE64" s="26">
        <v>95</v>
      </c>
      <c r="BF64" s="26">
        <v>156</v>
      </c>
      <c r="BG64" s="27"/>
      <c r="BH64" s="26"/>
      <c r="BI64" s="26"/>
      <c r="BJ64" s="26">
        <v>116</v>
      </c>
      <c r="BK64" s="26"/>
      <c r="BL64" s="27"/>
      <c r="BM64" s="26"/>
      <c r="BN64" s="26"/>
      <c r="BO64" s="26">
        <v>57</v>
      </c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2916</v>
      </c>
      <c r="EF64" s="119"/>
    </row>
    <row r="65" spans="1:136" ht="13.8" x14ac:dyDescent="0.25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>
        <f>IF(BD64&lt;&gt;"",AVERAGE($E64:BD64),"")</f>
        <v>92.296296296296291</v>
      </c>
      <c r="BE65" s="111">
        <f>IF(BE64&lt;&gt;"",AVERAGE($E64:BE64),"")</f>
        <v>92.392857142857139</v>
      </c>
      <c r="BF65" s="111">
        <f>IF(BF64&lt;&gt;"",AVERAGE($E64:BF64),"")</f>
        <v>94.58620689655173</v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>
        <f>IF(BJ64&lt;&gt;"",AVERAGE($E64:BJ64),"")</f>
        <v>95.3</v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>
        <f>IF(BO64&lt;&gt;"",AVERAGE($E64:BO64),"")</f>
        <v>94.064516129032256</v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94.064516129032256</v>
      </c>
      <c r="EF65" s="126"/>
    </row>
    <row r="66" spans="1:136" ht="14.4" thickBot="1" x14ac:dyDescent="0.3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 x14ac:dyDescent="0.25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>
        <v>0</v>
      </c>
      <c r="BI67" s="57"/>
      <c r="BJ67" s="57"/>
      <c r="BK67" s="58"/>
      <c r="BL67" s="59"/>
      <c r="BM67" s="57">
        <v>2</v>
      </c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2</v>
      </c>
      <c r="EF67" s="114"/>
    </row>
    <row r="68" spans="1:136" ht="13.8" x14ac:dyDescent="0.25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>
        <v>0</v>
      </c>
      <c r="BI68" s="3"/>
      <c r="BJ68" s="3"/>
      <c r="BK68" s="1"/>
      <c r="BL68" s="2"/>
      <c r="BM68" s="3">
        <v>0</v>
      </c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-1</v>
      </c>
    </row>
    <row r="69" spans="1:136" ht="13.8" x14ac:dyDescent="0.25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>
        <v>0</v>
      </c>
      <c r="BI69" s="3"/>
      <c r="BJ69" s="3"/>
      <c r="BK69" s="1"/>
      <c r="BL69" s="2"/>
      <c r="BM69" s="3">
        <v>0</v>
      </c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 x14ac:dyDescent="0.25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>
        <v>0</v>
      </c>
      <c r="BI70" s="3"/>
      <c r="BJ70" s="3"/>
      <c r="BK70" s="1"/>
      <c r="BL70" s="2"/>
      <c r="BM70" s="3">
        <v>0</v>
      </c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 x14ac:dyDescent="0.25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>
        <v>3</v>
      </c>
      <c r="BI71" s="3"/>
      <c r="BJ71" s="3"/>
      <c r="BK71" s="1"/>
      <c r="BL71" s="2"/>
      <c r="BM71" s="3">
        <v>3</v>
      </c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17</v>
      </c>
      <c r="EF71" s="117"/>
    </row>
    <row r="72" spans="1:136" ht="13.8" x14ac:dyDescent="0.25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>
        <v>84</v>
      </c>
      <c r="BI72" s="3">
        <v>109</v>
      </c>
      <c r="BJ72" s="3">
        <v>17</v>
      </c>
      <c r="BK72" s="1"/>
      <c r="BL72" s="2"/>
      <c r="BM72" s="3">
        <v>0</v>
      </c>
      <c r="BN72" s="3">
        <v>163</v>
      </c>
      <c r="BO72" s="3">
        <v>0</v>
      </c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1691</v>
      </c>
      <c r="EF72" s="117"/>
    </row>
    <row r="73" spans="1:136" ht="13.8" x14ac:dyDescent="0.25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>
        <f>IF(BH72&lt;&gt;"",AVERAGE($E72:BH72),"")</f>
        <v>116.83333333333333</v>
      </c>
      <c r="BI73" s="84">
        <f>IF(BI72&lt;&gt;"",AVERAGE($E72:BI72),"")</f>
        <v>116.23076923076923</v>
      </c>
      <c r="BJ73" s="84">
        <f>IF(BJ72&lt;&gt;"",AVERAGE($E72:BJ72),"")</f>
        <v>109.14285714285714</v>
      </c>
      <c r="BK73" s="84" t="str">
        <f>IF(BK72&lt;&gt;"",AVERAGE($E72:BK72),"")</f>
        <v/>
      </c>
      <c r="BL73" s="129" t="str">
        <f>IF(BL72&lt;&gt;"",AVERAGE($E72:BL72),"")</f>
        <v/>
      </c>
      <c r="BM73" s="84">
        <f>IF(BM72&lt;&gt;"",AVERAGE($E72:BM72),"")</f>
        <v>101.86666666666666</v>
      </c>
      <c r="BN73" s="84">
        <f>IF(BN72&lt;&gt;"",AVERAGE($E72:BN72),"")</f>
        <v>105.6875</v>
      </c>
      <c r="BO73" s="84">
        <f>IF(BO72&lt;&gt;"",AVERAGE($E72:BO72),"")</f>
        <v>99.470588235294116</v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99.470588235294116</v>
      </c>
      <c r="EF73" s="119"/>
    </row>
    <row r="74" spans="1:136" ht="14.4" thickBot="1" x14ac:dyDescent="0.3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 x14ac:dyDescent="0.25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>
        <v>1</v>
      </c>
      <c r="BD75" s="24"/>
      <c r="BE75" s="24"/>
      <c r="BF75" s="24"/>
      <c r="BG75" s="25"/>
      <c r="BH75" s="24">
        <v>1</v>
      </c>
      <c r="BI75" s="24"/>
      <c r="BJ75" s="24"/>
      <c r="BK75" s="24"/>
      <c r="BL75" s="25"/>
      <c r="BM75" s="24">
        <v>1</v>
      </c>
      <c r="BN75" s="24"/>
      <c r="BO75" s="24"/>
      <c r="BP75" s="24"/>
      <c r="BQ75" s="25"/>
      <c r="BR75" s="24">
        <v>2</v>
      </c>
      <c r="BS75" s="24"/>
      <c r="BT75" s="24"/>
      <c r="BU75" s="24"/>
      <c r="BV75" s="25"/>
      <c r="BW75" s="24">
        <v>1</v>
      </c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13</v>
      </c>
      <c r="EF75" s="123"/>
    </row>
    <row r="76" spans="1:136" ht="13.8" x14ac:dyDescent="0.25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>
        <v>0</v>
      </c>
      <c r="BD76" s="26"/>
      <c r="BE76" s="26"/>
      <c r="BF76" s="26"/>
      <c r="BG76" s="27"/>
      <c r="BH76" s="26">
        <v>0</v>
      </c>
      <c r="BI76" s="26"/>
      <c r="BJ76" s="26"/>
      <c r="BK76" s="26"/>
      <c r="BL76" s="27"/>
      <c r="BM76" s="26">
        <v>0</v>
      </c>
      <c r="BN76" s="26"/>
      <c r="BO76" s="26"/>
      <c r="BP76" s="26"/>
      <c r="BQ76" s="27"/>
      <c r="BR76" s="26">
        <v>0</v>
      </c>
      <c r="BS76" s="26"/>
      <c r="BT76" s="26"/>
      <c r="BU76" s="26"/>
      <c r="BV76" s="27"/>
      <c r="BW76" s="26">
        <v>0</v>
      </c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13</v>
      </c>
    </row>
    <row r="77" spans="1:136" ht="13.8" x14ac:dyDescent="0.25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>
        <v>0</v>
      </c>
      <c r="BD77" s="26"/>
      <c r="BE77" s="26"/>
      <c r="BF77" s="26"/>
      <c r="BG77" s="27"/>
      <c r="BH77" s="26">
        <v>0</v>
      </c>
      <c r="BI77" s="26"/>
      <c r="BJ77" s="26"/>
      <c r="BK77" s="26"/>
      <c r="BL77" s="27"/>
      <c r="BM77" s="26">
        <v>0</v>
      </c>
      <c r="BN77" s="26"/>
      <c r="BO77" s="26"/>
      <c r="BP77" s="26"/>
      <c r="BQ77" s="27"/>
      <c r="BR77" s="26">
        <v>0</v>
      </c>
      <c r="BS77" s="26"/>
      <c r="BT77" s="26"/>
      <c r="BU77" s="26"/>
      <c r="BV77" s="27"/>
      <c r="BW77" s="26">
        <v>0</v>
      </c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 x14ac:dyDescent="0.25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>
        <v>0</v>
      </c>
      <c r="BD78" s="26"/>
      <c r="BE78" s="26"/>
      <c r="BF78" s="26"/>
      <c r="BG78" s="27"/>
      <c r="BH78" s="26">
        <v>0</v>
      </c>
      <c r="BI78" s="26"/>
      <c r="BJ78" s="26"/>
      <c r="BK78" s="26"/>
      <c r="BL78" s="27"/>
      <c r="BM78" s="26">
        <v>0</v>
      </c>
      <c r="BN78" s="26"/>
      <c r="BO78" s="26"/>
      <c r="BP78" s="26"/>
      <c r="BQ78" s="27"/>
      <c r="BR78" s="26">
        <v>1</v>
      </c>
      <c r="BS78" s="26"/>
      <c r="BT78" s="26"/>
      <c r="BU78" s="26"/>
      <c r="BV78" s="27"/>
      <c r="BW78" s="26">
        <v>0</v>
      </c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10</v>
      </c>
      <c r="EF78" s="119"/>
    </row>
    <row r="79" spans="1:136" ht="13.8" x14ac:dyDescent="0.25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>
        <v>3</v>
      </c>
      <c r="BD79" s="26"/>
      <c r="BE79" s="26"/>
      <c r="BF79" s="26"/>
      <c r="BG79" s="27"/>
      <c r="BH79" s="26">
        <v>3</v>
      </c>
      <c r="BI79" s="26"/>
      <c r="BJ79" s="26"/>
      <c r="BK79" s="26"/>
      <c r="BL79" s="27"/>
      <c r="BM79" s="26">
        <v>3</v>
      </c>
      <c r="BN79" s="26"/>
      <c r="BO79" s="26"/>
      <c r="BP79" s="26"/>
      <c r="BQ79" s="27"/>
      <c r="BR79" s="26">
        <v>4</v>
      </c>
      <c r="BS79" s="26"/>
      <c r="BT79" s="26"/>
      <c r="BU79" s="26"/>
      <c r="BV79" s="27"/>
      <c r="BW79" s="26">
        <v>4</v>
      </c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44</v>
      </c>
      <c r="EF79" s="119"/>
    </row>
    <row r="80" spans="1:136" ht="13.8" x14ac:dyDescent="0.25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>
        <v>115</v>
      </c>
      <c r="BD80" s="26">
        <v>0</v>
      </c>
      <c r="BE80" s="26"/>
      <c r="BF80" s="26">
        <v>118</v>
      </c>
      <c r="BG80" s="27"/>
      <c r="BH80" s="26">
        <v>42</v>
      </c>
      <c r="BI80" s="26">
        <v>71</v>
      </c>
      <c r="BJ80" s="26">
        <v>0</v>
      </c>
      <c r="BK80" s="26"/>
      <c r="BL80" s="27"/>
      <c r="BM80" s="26">
        <v>3</v>
      </c>
      <c r="BN80" s="26">
        <v>45</v>
      </c>
      <c r="BO80" s="26">
        <v>0</v>
      </c>
      <c r="BP80" s="26"/>
      <c r="BQ80" s="27"/>
      <c r="BR80" s="26">
        <v>0</v>
      </c>
      <c r="BS80" s="26">
        <v>26</v>
      </c>
      <c r="BT80" s="26">
        <v>0</v>
      </c>
      <c r="BU80" s="26">
        <v>90</v>
      </c>
      <c r="BV80" s="27"/>
      <c r="BW80" s="26">
        <v>0</v>
      </c>
      <c r="BX80" s="26">
        <v>61</v>
      </c>
      <c r="BY80" s="26">
        <v>30</v>
      </c>
      <c r="BZ80" s="26">
        <v>80</v>
      </c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1780</v>
      </c>
      <c r="EF80" s="119"/>
    </row>
    <row r="81" spans="1:136" ht="13.8" x14ac:dyDescent="0.25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>
        <f>IF(BC80&lt;&gt;"",AVERAGE($E80:BC80),"")</f>
        <v>43.357142857142854</v>
      </c>
      <c r="BD81" s="111">
        <f>IF(BD80&lt;&gt;"",AVERAGE($E80:BD80),"")</f>
        <v>41.862068965517238</v>
      </c>
      <c r="BE81" s="111" t="str">
        <f>IF(BE80&lt;&gt;"",AVERAGE($E80:BE80),"")</f>
        <v/>
      </c>
      <c r="BF81" s="111">
        <f>IF(BF80&lt;&gt;"",AVERAGE($E80:BF80),"")</f>
        <v>44.4</v>
      </c>
      <c r="BG81" s="112" t="str">
        <f>IF(BG80&lt;&gt;"",AVERAGE($E80:BG80),"")</f>
        <v/>
      </c>
      <c r="BH81" s="111">
        <f>IF(BH80&lt;&gt;"",AVERAGE($E80:BH80),"")</f>
        <v>44.322580645161288</v>
      </c>
      <c r="BI81" s="111">
        <f>IF(BI80&lt;&gt;"",AVERAGE($E80:BI80),"")</f>
        <v>45.15625</v>
      </c>
      <c r="BJ81" s="111">
        <f>IF(BJ80&lt;&gt;"",AVERAGE($E80:BJ80),"")</f>
        <v>43.787878787878789</v>
      </c>
      <c r="BK81" s="111" t="str">
        <f>IF(BK80&lt;&gt;"",AVERAGE($E80:BK80),"")</f>
        <v/>
      </c>
      <c r="BL81" s="112" t="str">
        <f>IF(BL80&lt;&gt;"",AVERAGE($E80:BL80),"")</f>
        <v/>
      </c>
      <c r="BM81" s="111">
        <f>IF(BM80&lt;&gt;"",AVERAGE($E80:BM80),"")</f>
        <v>42.588235294117645</v>
      </c>
      <c r="BN81" s="111">
        <f>IF(BN80&lt;&gt;"",AVERAGE($E80:BN80),"")</f>
        <v>42.657142857142858</v>
      </c>
      <c r="BO81" s="111">
        <f>IF(BO80&lt;&gt;"",AVERAGE($E80:BO80),"")</f>
        <v>41.472222222222221</v>
      </c>
      <c r="BP81" s="111" t="str">
        <f>IF(BP80&lt;&gt;"",AVERAGE($E80:BP80),"")</f>
        <v/>
      </c>
      <c r="BQ81" s="112" t="str">
        <f>IF(BQ80&lt;&gt;"",AVERAGE($E80:BQ80),"")</f>
        <v/>
      </c>
      <c r="BR81" s="111">
        <f>IF(BR80&lt;&gt;"",AVERAGE($E80:BR80),"")</f>
        <v>40.351351351351354</v>
      </c>
      <c r="BS81" s="111">
        <f>IF(BS80&lt;&gt;"",AVERAGE($E80:BS80),"")</f>
        <v>39.973684210526315</v>
      </c>
      <c r="BT81" s="111">
        <f>IF(BT80&lt;&gt;"",AVERAGE($E80:BT80),"")</f>
        <v>38.948717948717949</v>
      </c>
      <c r="BU81" s="111">
        <f>IF(BU80&lt;&gt;"",AVERAGE($E80:BU80),"")</f>
        <v>40.225000000000001</v>
      </c>
      <c r="BV81" s="112" t="str">
        <f>IF(BV80&lt;&gt;"",AVERAGE($E80:BV80),"")</f>
        <v/>
      </c>
      <c r="BW81" s="111">
        <f>IF(BW80&lt;&gt;"",AVERAGE($E80:BW80),"")</f>
        <v>39.243902439024389</v>
      </c>
      <c r="BX81" s="111">
        <f>IF(BX80&lt;&gt;"",AVERAGE($E80:BX80),"")</f>
        <v>39.761904761904759</v>
      </c>
      <c r="BY81" s="111">
        <f>IF(BY80&lt;&gt;"",AVERAGE($E80:BY80),"")</f>
        <v>39.534883720930232</v>
      </c>
      <c r="BZ81" s="111">
        <f>IF(BZ80&lt;&gt;"",AVERAGE($E80:BZ80),"")</f>
        <v>40.454545454545453</v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40.454545454545453</v>
      </c>
      <c r="EF81" s="126"/>
    </row>
    <row r="82" spans="1:136" ht="14.4" thickBot="1" x14ac:dyDescent="0.3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 x14ac:dyDescent="0.25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>
        <v>1</v>
      </c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7</v>
      </c>
      <c r="EF83" s="114"/>
    </row>
    <row r="84" spans="1:136" ht="13.8" x14ac:dyDescent="0.25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>
        <v>0</v>
      </c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4</v>
      </c>
    </row>
    <row r="85" spans="1:136" ht="13.8" x14ac:dyDescent="0.25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>
        <v>0</v>
      </c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 x14ac:dyDescent="0.25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>
        <v>0</v>
      </c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 x14ac:dyDescent="0.25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>
        <v>3</v>
      </c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21</v>
      </c>
      <c r="EF87" s="117"/>
    </row>
    <row r="88" spans="1:136" ht="13.8" x14ac:dyDescent="0.25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>
        <v>58</v>
      </c>
      <c r="BE88" s="3">
        <v>32</v>
      </c>
      <c r="BF88" s="1">
        <v>0</v>
      </c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920</v>
      </c>
      <c r="EF88" s="117"/>
    </row>
    <row r="89" spans="1:136" ht="13.8" x14ac:dyDescent="0.25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>
        <f>IF(BD88&lt;&gt;"",AVERAGE($E88:BD88),"")</f>
        <v>46.736842105263158</v>
      </c>
      <c r="BE89" s="84">
        <f>IF(BE88&lt;&gt;"",AVERAGE($E88:BE88),"")</f>
        <v>46</v>
      </c>
      <c r="BF89" s="84">
        <f>IF(BF88&lt;&gt;"",AVERAGE($E88:BF88),"")</f>
        <v>43.80952380952381</v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43.80952380952381</v>
      </c>
      <c r="EF89" s="119"/>
    </row>
    <row r="90" spans="1:136" ht="14.4" thickBot="1" x14ac:dyDescent="0.3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 x14ac:dyDescent="0.25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>
        <v>0</v>
      </c>
      <c r="BD91" s="24"/>
      <c r="BE91" s="24"/>
      <c r="BF91" s="24"/>
      <c r="BG91" s="25"/>
      <c r="BH91" s="24">
        <v>0</v>
      </c>
      <c r="BI91" s="24"/>
      <c r="BJ91" s="24"/>
      <c r="BK91" s="24"/>
      <c r="BL91" s="25"/>
      <c r="BM91" s="24">
        <v>0</v>
      </c>
      <c r="BN91" s="24"/>
      <c r="BO91" s="24"/>
      <c r="BP91" s="24"/>
      <c r="BQ91" s="25"/>
      <c r="BR91" s="24">
        <v>1</v>
      </c>
      <c r="BS91" s="24"/>
      <c r="BT91" s="24"/>
      <c r="BU91" s="24"/>
      <c r="BV91" s="25"/>
      <c r="BW91" s="24">
        <v>1</v>
      </c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10</v>
      </c>
      <c r="EF91" s="123"/>
    </row>
    <row r="92" spans="1:136" ht="13.8" x14ac:dyDescent="0.25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>
        <v>2</v>
      </c>
      <c r="BD92" s="26"/>
      <c r="BE92" s="26"/>
      <c r="BF92" s="26"/>
      <c r="BG92" s="27"/>
      <c r="BH92" s="26">
        <v>0</v>
      </c>
      <c r="BI92" s="26"/>
      <c r="BJ92" s="26"/>
      <c r="BK92" s="26"/>
      <c r="BL92" s="27"/>
      <c r="BM92" s="26">
        <v>0</v>
      </c>
      <c r="BN92" s="26"/>
      <c r="BO92" s="26"/>
      <c r="BP92" s="26"/>
      <c r="BQ92" s="27"/>
      <c r="BR92" s="26">
        <v>1</v>
      </c>
      <c r="BS92" s="26"/>
      <c r="BT92" s="26"/>
      <c r="BU92" s="26"/>
      <c r="BV92" s="27"/>
      <c r="BW92" s="26">
        <v>2</v>
      </c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11</v>
      </c>
      <c r="EF92" s="116">
        <f>SUM(EE91-EE92)</f>
        <v>-1</v>
      </c>
    </row>
    <row r="93" spans="1:136" ht="13.8" x14ac:dyDescent="0.25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>
        <v>2</v>
      </c>
      <c r="BD93" s="26"/>
      <c r="BE93" s="26"/>
      <c r="BF93" s="26"/>
      <c r="BG93" s="27"/>
      <c r="BH93" s="26">
        <v>0</v>
      </c>
      <c r="BI93" s="26"/>
      <c r="BJ93" s="26"/>
      <c r="BK93" s="26"/>
      <c r="BL93" s="27"/>
      <c r="BM93" s="26">
        <v>0</v>
      </c>
      <c r="BN93" s="26"/>
      <c r="BO93" s="26"/>
      <c r="BP93" s="26"/>
      <c r="BQ93" s="27"/>
      <c r="BR93" s="26">
        <v>2</v>
      </c>
      <c r="BS93" s="26"/>
      <c r="BT93" s="26"/>
      <c r="BU93" s="26"/>
      <c r="BV93" s="27"/>
      <c r="BW93" s="26">
        <v>6</v>
      </c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18</v>
      </c>
      <c r="EF93" s="119"/>
    </row>
    <row r="94" spans="1:136" ht="13.8" x14ac:dyDescent="0.25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>
        <v>0</v>
      </c>
      <c r="BD94" s="26"/>
      <c r="BE94" s="26"/>
      <c r="BF94" s="26"/>
      <c r="BG94" s="27"/>
      <c r="BH94" s="26">
        <v>0</v>
      </c>
      <c r="BI94" s="26"/>
      <c r="BJ94" s="26"/>
      <c r="BK94" s="26"/>
      <c r="BL94" s="27"/>
      <c r="BM94" s="26">
        <v>1</v>
      </c>
      <c r="BN94" s="26"/>
      <c r="BO94" s="26"/>
      <c r="BP94" s="26"/>
      <c r="BQ94" s="27"/>
      <c r="BR94" s="26">
        <v>0</v>
      </c>
      <c r="BS94" s="26"/>
      <c r="BT94" s="26"/>
      <c r="BU94" s="26"/>
      <c r="BV94" s="27"/>
      <c r="BW94" s="26">
        <v>0</v>
      </c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5</v>
      </c>
      <c r="EF94" s="119"/>
    </row>
    <row r="95" spans="1:136" ht="13.8" x14ac:dyDescent="0.25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>
        <v>4</v>
      </c>
      <c r="BD95" s="26"/>
      <c r="BE95" s="26"/>
      <c r="BF95" s="26"/>
      <c r="BG95" s="27"/>
      <c r="BH95" s="26">
        <v>1</v>
      </c>
      <c r="BI95" s="26"/>
      <c r="BJ95" s="26"/>
      <c r="BK95" s="26"/>
      <c r="BL95" s="27"/>
      <c r="BM95" s="26">
        <v>3</v>
      </c>
      <c r="BN95" s="26"/>
      <c r="BO95" s="26"/>
      <c r="BP95" s="26"/>
      <c r="BQ95" s="27"/>
      <c r="BR95" s="26">
        <v>4</v>
      </c>
      <c r="BS95" s="26"/>
      <c r="BT95" s="26"/>
      <c r="BU95" s="26"/>
      <c r="BV95" s="27"/>
      <c r="BW95" s="26">
        <v>4</v>
      </c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48</v>
      </c>
      <c r="EF95" s="119"/>
    </row>
    <row r="96" spans="1:136" ht="13.8" x14ac:dyDescent="0.25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>
        <v>177</v>
      </c>
      <c r="BD96" s="26">
        <v>177</v>
      </c>
      <c r="BE96" s="26">
        <v>105</v>
      </c>
      <c r="BF96" s="26">
        <v>114</v>
      </c>
      <c r="BG96" s="27"/>
      <c r="BH96" s="26">
        <v>98</v>
      </c>
      <c r="BI96" s="26"/>
      <c r="BJ96" s="26"/>
      <c r="BK96" s="26"/>
      <c r="BL96" s="27"/>
      <c r="BM96" s="26">
        <v>18</v>
      </c>
      <c r="BN96" s="26">
        <v>59</v>
      </c>
      <c r="BO96" s="26">
        <v>20</v>
      </c>
      <c r="BP96" s="26"/>
      <c r="BQ96" s="27"/>
      <c r="BR96" s="26">
        <v>18</v>
      </c>
      <c r="BS96" s="26">
        <v>153</v>
      </c>
      <c r="BT96" s="26">
        <v>116</v>
      </c>
      <c r="BU96" s="26">
        <v>0</v>
      </c>
      <c r="BV96" s="27"/>
      <c r="BW96" s="26">
        <v>31</v>
      </c>
      <c r="BX96" s="26">
        <v>143</v>
      </c>
      <c r="BY96" s="26">
        <v>123</v>
      </c>
      <c r="BZ96" s="26">
        <v>0</v>
      </c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3677</v>
      </c>
      <c r="EF96" s="119"/>
    </row>
    <row r="97" spans="1:136" ht="13.8" x14ac:dyDescent="0.25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>
        <f>IF(BC96&lt;&gt;"",AVERAGE($E96:BC96),"")</f>
        <v>75.818181818181813</v>
      </c>
      <c r="BD97" s="111">
        <f>IF(BD96&lt;&gt;"",AVERAGE($E96:BD96),"")</f>
        <v>78.794117647058826</v>
      </c>
      <c r="BE97" s="111">
        <f>IF(BE96&lt;&gt;"",AVERAGE($E96:BE96),"")</f>
        <v>79.542857142857144</v>
      </c>
      <c r="BF97" s="111">
        <f>IF(BF96&lt;&gt;"",AVERAGE($E96:BF96),"")</f>
        <v>80.5</v>
      </c>
      <c r="BG97" s="112" t="str">
        <f>IF(BG96&lt;&gt;"",AVERAGE($E96:BG96),"")</f>
        <v/>
      </c>
      <c r="BH97" s="111">
        <f>IF(BH96&lt;&gt;"",AVERAGE($E96:BH96),"")</f>
        <v>80.972972972972968</v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>
        <f>IF(BM96&lt;&gt;"",AVERAGE($E96:BM96),"")</f>
        <v>79.315789473684205</v>
      </c>
      <c r="BN97" s="111">
        <f>IF(BN96&lt;&gt;"",AVERAGE($E96:BN96),"")</f>
        <v>78.794871794871796</v>
      </c>
      <c r="BO97" s="111">
        <f>IF(BO96&lt;&gt;"",AVERAGE($E96:BO96),"")</f>
        <v>77.325000000000003</v>
      </c>
      <c r="BP97" s="111" t="str">
        <f>IF(BP96&lt;&gt;"",AVERAGE($E96:BP96),"")</f>
        <v/>
      </c>
      <c r="BQ97" s="112" t="str">
        <f>IF(BQ96&lt;&gt;"",AVERAGE($E96:BQ96),"")</f>
        <v/>
      </c>
      <c r="BR97" s="111">
        <f>IF(BR96&lt;&gt;"",AVERAGE($E96:BR96),"")</f>
        <v>75.878048780487802</v>
      </c>
      <c r="BS97" s="111">
        <f>IF(BS96&lt;&gt;"",AVERAGE($E96:BS96),"")</f>
        <v>77.714285714285708</v>
      </c>
      <c r="BT97" s="111">
        <f>IF(BT96&lt;&gt;"",AVERAGE($E96:BT96),"")</f>
        <v>78.604651162790702</v>
      </c>
      <c r="BU97" s="111">
        <f>IF(BU96&lt;&gt;"",AVERAGE($E96:BU96),"")</f>
        <v>76.818181818181813</v>
      </c>
      <c r="BV97" s="112" t="str">
        <f>IF(BV96&lt;&gt;"",AVERAGE($E96:BV96),"")</f>
        <v/>
      </c>
      <c r="BW97" s="111">
        <f>IF(BW96&lt;&gt;"",AVERAGE($E96:BW96),"")</f>
        <v>75.8</v>
      </c>
      <c r="BX97" s="111">
        <f>IF(BX96&lt;&gt;"",AVERAGE($E96:BX96),"")</f>
        <v>77.260869565217391</v>
      </c>
      <c r="BY97" s="111">
        <f>IF(BY96&lt;&gt;"",AVERAGE($E96:BY96),"")</f>
        <v>78.234042553191486</v>
      </c>
      <c r="BZ97" s="111">
        <f>IF(BZ96&lt;&gt;"",AVERAGE($E96:BZ96),"")</f>
        <v>76.604166666666671</v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76.604166666666671</v>
      </c>
      <c r="EF97" s="126"/>
    </row>
    <row r="98" spans="1:136" ht="14.4" thickBot="1" x14ac:dyDescent="0.3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 x14ac:dyDescent="0.25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 x14ac:dyDescent="0.25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 x14ac:dyDescent="0.25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 x14ac:dyDescent="0.25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 x14ac:dyDescent="0.25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 x14ac:dyDescent="0.25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 x14ac:dyDescent="0.25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 x14ac:dyDescent="0.3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 x14ac:dyDescent="0.25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 x14ac:dyDescent="0.25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 x14ac:dyDescent="0.25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 x14ac:dyDescent="0.25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 x14ac:dyDescent="0.25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 x14ac:dyDescent="0.25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 x14ac:dyDescent="0.25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 x14ac:dyDescent="0.3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 x14ac:dyDescent="0.25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 x14ac:dyDescent="0.25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 x14ac:dyDescent="0.25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 x14ac:dyDescent="0.25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 x14ac:dyDescent="0.25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 x14ac:dyDescent="0.25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 x14ac:dyDescent="0.25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 x14ac:dyDescent="0.3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 x14ac:dyDescent="0.25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 x14ac:dyDescent="0.25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 x14ac:dyDescent="0.25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 x14ac:dyDescent="0.25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 x14ac:dyDescent="0.25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 x14ac:dyDescent="0.25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 x14ac:dyDescent="0.25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 x14ac:dyDescent="0.3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 x14ac:dyDescent="0.25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tabSelected="1" zoomScaleNormal="100" workbookViewId="0">
      <pane xSplit="3" ySplit="3" topLeftCell="Y48" activePane="bottomRight" state="frozen"/>
      <selection activeCell="N16" sqref="N16"/>
      <selection pane="topRight" activeCell="N16" sqref="N16"/>
      <selection pane="bottomLeft" activeCell="N16" sqref="N16"/>
      <selection pane="bottomRight" activeCell="AF9" sqref="AF9:AF68"/>
    </sheetView>
  </sheetViews>
  <sheetFormatPr defaultRowHeight="13.2" x14ac:dyDescent="0.25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 x14ac:dyDescent="0.3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 x14ac:dyDescent="0.25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>
        <f>IFERROR(IF(INDEX(Přehled_body!$E$1:$ED$1,1,MATCH(Tabulka!M2,Přehled_body!$D$1:$ED$1,0)+4)="","",INDEX(Přehled_body!$E$1:$ED$1,1,MATCH(Tabulka!M2,Přehled_body!$D$1:$ED$1,0)+4)),"")</f>
        <v>43984</v>
      </c>
      <c r="O2" s="133">
        <f>IFERROR(IF(INDEX(Přehled_body!$E$1:$ED$1,1,MATCH(Tabulka!N2,Přehled_body!$D$1:$ED$1,0)+4)="","",INDEX(Přehled_body!$E$1:$ED$1,1,MATCH(Tabulka!N2,Přehled_body!$D$1:$ED$1,0)+4)),"")</f>
        <v>43991</v>
      </c>
      <c r="P2" s="133">
        <f>IFERROR(IF(INDEX(Přehled_body!$E$1:$ED$1,1,MATCH(Tabulka!O2,Přehled_body!$D$1:$ED$1,0)+4)="","",INDEX(Přehled_body!$E$1:$ED$1,1,MATCH(Tabulka!O2,Přehled_body!$D$1:$ED$1,0)+4)),"")</f>
        <v>43998</v>
      </c>
      <c r="Q2" s="133">
        <f>IFERROR(IF(INDEX(Přehled_body!$E$1:$ED$1,1,MATCH(Tabulka!P2,Přehled_body!$D$1:$ED$1,0)+4)="","",INDEX(Přehled_body!$E$1:$ED$1,1,MATCH(Tabulka!P2,Přehled_body!$D$1:$ED$1,0)+4)),"")</f>
        <v>44005</v>
      </c>
      <c r="R2" s="133">
        <f>IFERROR(IF(INDEX(Přehled_body!$E$1:$ED$1,1,MATCH(Tabulka!Q2,Přehled_body!$D$1:$ED$1,0)+4)="","",INDEX(Přehled_body!$E$1:$ED$1,1,MATCH(Tabulka!Q2,Přehled_body!$D$1:$ED$1,0)+4)),"")</f>
        <v>44012</v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 x14ac:dyDescent="0.3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>
        <f t="shared" si="0"/>
        <v>9</v>
      </c>
      <c r="O3" s="136">
        <f t="shared" si="0"/>
        <v>9</v>
      </c>
      <c r="P3" s="136">
        <f t="shared" si="0"/>
        <v>9</v>
      </c>
      <c r="Q3" s="136">
        <f t="shared" si="0"/>
        <v>8</v>
      </c>
      <c r="R3" s="136">
        <f t="shared" si="0"/>
        <v>6</v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 x14ac:dyDescent="0.25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9.9999999999999994E-12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159">
        <f>IF(SUM($D$4:$AD$8)&lt;1,-90000,SUM(D4:AD4))</f>
        <v>9.9999999999999994E-12</v>
      </c>
      <c r="AF4" s="72"/>
      <c r="AG4" s="8"/>
      <c r="AI4" t="str">
        <f>CONCATENATE($B$5," ",$B$6,C4)</f>
        <v>Jiří FialaVýhry</v>
      </c>
    </row>
    <row r="5" spans="1:35" ht="13.8" x14ac:dyDescent="0.25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9.9999999999999994E-12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160">
        <f>IF(SUM($D$4:$AD$8)&lt;1,-90000,SUM(D5:AD5))</f>
        <v>9.9999999999999994E-12</v>
      </c>
      <c r="AF5" s="158">
        <f>SUM(AE4-AE5)+AE4/10000-AE7/10000</f>
        <v>0</v>
      </c>
      <c r="AG5" s="8"/>
      <c r="AI5" t="str">
        <f>CONCATENATE($B$5," ",$B$6,C5)</f>
        <v>Jiří FialaProhry</v>
      </c>
    </row>
    <row r="6" spans="1:35" ht="13.8" x14ac:dyDescent="0.25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9.9999999999999994E-12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160">
        <f>IF(SUM($D$4:$AD$8)&lt;1,-90000,SUM(D6:AD6))</f>
        <v>9.9999999999999994E-12</v>
      </c>
      <c r="AF6" s="72"/>
      <c r="AG6" s="8"/>
      <c r="AI6" t="str">
        <f>CONCATENATE($B$5," ",$B$6,C6)</f>
        <v>Jiří FialaPlaceno panáků</v>
      </c>
    </row>
    <row r="7" spans="1:35" ht="13.8" x14ac:dyDescent="0.25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9.9999999999999994E-12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160">
        <f>IF(SUM($D$4:$AD$8)&lt;1,-90000,SUM(D7:AD7))</f>
        <v>9.9999999999999994E-12</v>
      </c>
      <c r="AF7" s="72"/>
      <c r="AG7" s="8"/>
      <c r="AI7" t="str">
        <f>CONCATENATE($B$5," ",$B$6,C7)</f>
        <v>Jiří FialaPřehozy</v>
      </c>
    </row>
    <row r="8" spans="1:35" ht="14.4" thickBot="1" x14ac:dyDescent="0.3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4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161">
        <f>IF(SUM($D$4:$AD$8)&lt;1,-90000,SUM(D8:AD8))</f>
        <v>4</v>
      </c>
      <c r="AF8" s="67"/>
      <c r="AG8" s="8"/>
      <c r="AI8" t="str">
        <f>CONCATENATE($B$5," ",$B$6,C8)</f>
        <v>Jiří FialaPoč. kol</v>
      </c>
    </row>
    <row r="9" spans="1:35" ht="14.4" thickTop="1" x14ac:dyDescent="0.25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9.9999999999999994E-12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9.9999999999999994E-12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1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1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3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12.00000000006</v>
      </c>
      <c r="AF9" s="81"/>
      <c r="AG9" s="8"/>
      <c r="AI9" t="str">
        <f>CONCATENATE($B$10," ",$B$11,C9)</f>
        <v>Libor HruškaVýhry</v>
      </c>
    </row>
    <row r="10" spans="1:35" ht="13.8" x14ac:dyDescent="0.25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9.9999999999999994E-12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9.9999999999999994E-12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1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1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9.9999999999999994E-12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5.00000000009</v>
      </c>
      <c r="AF10" s="158">
        <f>SUM(AE9-AE10)+AE9/10000-AE12/10000</f>
        <v>7.0008999999699952</v>
      </c>
      <c r="AG10" s="8"/>
      <c r="AI10" t="str">
        <f>CONCATENATE($B$10," ",$B$11,C10)</f>
        <v>Libor HruškaProhry</v>
      </c>
    </row>
    <row r="11" spans="1:35" ht="13.8" x14ac:dyDescent="0.25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9.9999999999999994E-12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9.9999999999999994E-12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1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1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9.9999999999999994E-12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5.00000000009</v>
      </c>
      <c r="AF11" s="81"/>
      <c r="AG11" s="8"/>
      <c r="AI11" t="str">
        <f>CONCATENATE($B$10," ",$B$11,C11)</f>
        <v>Libor HruškaPlaceno panáků</v>
      </c>
    </row>
    <row r="12" spans="1:35" ht="13.8" x14ac:dyDescent="0.25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9.9999999999999994E-12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1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9.9999999999999994E-12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9.9999999999999994E-12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1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3.00000000011</v>
      </c>
      <c r="AF12" s="81"/>
      <c r="AG12" s="8"/>
      <c r="AI12" t="str">
        <f>CONCATENATE($B$10," ",$B$11,C12)</f>
        <v>Libor HruškaPřehozy</v>
      </c>
    </row>
    <row r="13" spans="1:35" ht="14.4" thickBot="1" x14ac:dyDescent="0.3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4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3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3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4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4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55</v>
      </c>
      <c r="AF13" s="90"/>
      <c r="AG13" s="8"/>
      <c r="AI13" t="str">
        <f>CONCATENATE($B$10," ",$B$11,C13)</f>
        <v>Libor HruškaPoč. kol</v>
      </c>
    </row>
    <row r="14" spans="1:35" ht="14.4" thickTop="1" x14ac:dyDescent="0.25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1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1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9.9999999999999994E-12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9.9999999999999994E-12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1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15.000000000029999</v>
      </c>
      <c r="AF14" s="81"/>
      <c r="AG14" s="8"/>
      <c r="AI14" t="str">
        <f>CONCATENATE($B$15," ",$B$16,C14)</f>
        <v>Petr WeinerVýhry</v>
      </c>
    </row>
    <row r="15" spans="1:35" ht="13.8" x14ac:dyDescent="0.25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9.9999999999999994E-12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1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9.9999999999999994E-12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9.9999999999999994E-12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1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3.00000000011</v>
      </c>
      <c r="AF15" s="158">
        <f t="shared" ref="AF15" si="1">SUM(AE14-AE15)+AE14/10000-AE17/10000</f>
        <v>12.000099999919998</v>
      </c>
      <c r="AG15" s="8"/>
      <c r="AI15" t="str">
        <f>CONCATENATE($B$15," ",$B$16,C15)</f>
        <v>Petr WeinerProhry</v>
      </c>
    </row>
    <row r="16" spans="1:35" ht="13.8" x14ac:dyDescent="0.25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9.9999999999999994E-12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1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9.9999999999999994E-12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9.9999999999999994E-12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4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6.00000000011</v>
      </c>
      <c r="AF16" s="81"/>
      <c r="AG16" s="8"/>
      <c r="AI16" t="str">
        <f>CONCATENATE($B$15," ",$B$16,C16)</f>
        <v>Petr WeinerPlaceno panáků</v>
      </c>
    </row>
    <row r="17" spans="1:35" ht="13.8" x14ac:dyDescent="0.25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9.9999999999999994E-12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9.9999999999999994E-12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1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2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2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14.000000000049997</v>
      </c>
      <c r="AF17" s="81"/>
      <c r="AG17" s="8"/>
      <c r="AI17" t="str">
        <f>CONCATENATE($B$15," ",$B$16,C17)</f>
        <v>Petr WeinerPřehozy</v>
      </c>
    </row>
    <row r="18" spans="1:35" ht="14.4" thickBot="1" x14ac:dyDescent="0.3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4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3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3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4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4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52</v>
      </c>
      <c r="AF18" s="90"/>
      <c r="AG18" s="8"/>
      <c r="AI18" t="str">
        <f>CONCATENATE($B$15," ",$B$16,C18)</f>
        <v>Petr WeinerPoč. kol</v>
      </c>
    </row>
    <row r="19" spans="1:35" ht="14.4" thickTop="1" x14ac:dyDescent="0.25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9.9999999999999994E-12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9.9999999999999994E-12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9.9999999999999994E-12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3.00000000007</v>
      </c>
      <c r="AF19" s="81"/>
      <c r="AG19" s="8"/>
      <c r="AI19" t="str">
        <f>CONCATENATE($B$20," ",$B$21,C19)</f>
        <v>Pavel PernekrVýhry</v>
      </c>
    </row>
    <row r="20" spans="1:35" ht="13.8" x14ac:dyDescent="0.25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9.9999999999999994E-12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9.9999999999999994E-12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1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4.00000000006</v>
      </c>
      <c r="AF20" s="158">
        <f t="shared" ref="AF20" si="2">SUM(AE19-AE20)+AE19/10000-AE22/10000</f>
        <v>-1.0002999999899971</v>
      </c>
      <c r="AG20" s="8"/>
      <c r="AI20" t="str">
        <f>CONCATENATE($B$20," ",$B$21,C20)</f>
        <v>Pavel PernekrProhry</v>
      </c>
    </row>
    <row r="21" spans="1:35" ht="13.8" x14ac:dyDescent="0.25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9.9999999999999994E-12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9.9999999999999994E-12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1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5.00000000006</v>
      </c>
      <c r="AF21" s="81"/>
      <c r="AG21" s="8"/>
      <c r="AI21" t="str">
        <f>CONCATENATE($B$20," ",$B$21,C21)</f>
        <v>Pavel PernekrPlaceno panáků</v>
      </c>
    </row>
    <row r="22" spans="1:35" ht="13.8" x14ac:dyDescent="0.25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9.9999999999999994E-12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1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1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6.00000000004</v>
      </c>
      <c r="AF22" s="81"/>
      <c r="AG22" s="8"/>
      <c r="AI22" t="str">
        <f>CONCATENATE($B$20," ",$B$21,C22)</f>
        <v>Pavel PernekrPřehozy</v>
      </c>
    </row>
    <row r="23" spans="1:35" ht="14.4" thickBot="1" x14ac:dyDescent="0.3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4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3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3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36</v>
      </c>
      <c r="AF23" s="90"/>
      <c r="AG23" s="8"/>
      <c r="AI23" t="str">
        <f>CONCATENATE($B$20," ",$B$21,C23)</f>
        <v>Pavel PernekrPoč. kol</v>
      </c>
    </row>
    <row r="24" spans="1:35" ht="14.4" thickTop="1" x14ac:dyDescent="0.25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1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9.9999999999999994E-12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1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1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2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18.000000000029999</v>
      </c>
      <c r="AF24" s="81"/>
      <c r="AG24" s="8"/>
      <c r="AI24" t="str">
        <f>CONCATENATE($B$25," ",$B$26,C24)</f>
        <v>Milan VeselýVýhry</v>
      </c>
    </row>
    <row r="25" spans="1:35" ht="13.8" x14ac:dyDescent="0.25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9.9999999999999994E-12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1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9.9999999999999994E-12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9.9999999999999994E-12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1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5.00000000009</v>
      </c>
      <c r="AF25" s="158">
        <f t="shared" ref="AF25" si="3">SUM(AE24-AE25)+AE24/10000-AE27/10000</f>
        <v>13.000299999939996</v>
      </c>
      <c r="AG25" s="8"/>
      <c r="AI25" t="str">
        <f>CONCATENATE($B$25," ",$B$26,C25)</f>
        <v>Milan VeselýProhry</v>
      </c>
    </row>
    <row r="26" spans="1:35" ht="13.8" x14ac:dyDescent="0.25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9.9999999999999994E-12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1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9.9999999999999994E-12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9.9999999999999994E-12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1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7.00000000009</v>
      </c>
      <c r="AF26" s="81"/>
      <c r="AG26" s="8"/>
      <c r="AI26" t="str">
        <f>CONCATENATE($B$25," ",$B$26,C26)</f>
        <v>Milan VeselýPlaceno panáků</v>
      </c>
    </row>
    <row r="27" spans="1:35" ht="13.8" x14ac:dyDescent="0.25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9.9999999999999994E-12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9.9999999999999994E-12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2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1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2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15.000000000059998</v>
      </c>
      <c r="AF27" s="81"/>
      <c r="AG27" s="8"/>
      <c r="AI27" t="str">
        <f>CONCATENATE($B$25," ",$B$26,C27)</f>
        <v>Milan VeselýPřehozy</v>
      </c>
    </row>
    <row r="28" spans="1:35" ht="14.4" thickBot="1" x14ac:dyDescent="0.3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3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3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3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4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4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54</v>
      </c>
      <c r="AF28" s="90"/>
      <c r="AG28" s="8"/>
      <c r="AI28" t="str">
        <f>CONCATENATE($B$25," ",$B$26,C28)</f>
        <v>Milan VeselýPoč. kol</v>
      </c>
    </row>
    <row r="29" spans="1:35" ht="14.4" thickTop="1" x14ac:dyDescent="0.25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9.9999999999999994E-12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1.00000000003</v>
      </c>
      <c r="AF29" s="81"/>
      <c r="AG29" s="8"/>
      <c r="AI29" t="str">
        <f>CONCATENATE($B$30," ",$B$31,C29)</f>
        <v>Míra ŠedivýVýhry</v>
      </c>
    </row>
    <row r="30" spans="1:35" ht="13.8" x14ac:dyDescent="0.25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2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4.00000000001</v>
      </c>
      <c r="AF30" s="158">
        <f t="shared" ref="AF30" si="4">SUM(AE29-AE30)+AE29/10000-AE32/10000</f>
        <v>-3.0003999999799982</v>
      </c>
      <c r="AG30" s="8"/>
      <c r="AI30" t="str">
        <f>CONCATENATE($B$30," ",$B$31,C30)</f>
        <v>Míra ŠedivýProhry</v>
      </c>
    </row>
    <row r="31" spans="1:35" ht="13.8" x14ac:dyDescent="0.25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2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5.00000000001</v>
      </c>
      <c r="AF31" s="81"/>
      <c r="AG31" s="8"/>
      <c r="AI31" t="str">
        <f>CONCATENATE($B$30," ",$B$31,C31)</f>
        <v>Míra ŠedivýPlaceno panáků</v>
      </c>
    </row>
    <row r="32" spans="1:35" ht="13.8" x14ac:dyDescent="0.25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1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5.00000000001</v>
      </c>
      <c r="AF32" s="81"/>
      <c r="AG32" s="8"/>
      <c r="AI32" t="str">
        <f>CONCATENATE($B$30," ",$B$31,C32)</f>
        <v>Míra ŠedivýPřehozy</v>
      </c>
    </row>
    <row r="33" spans="1:35" ht="14.4" thickBot="1" x14ac:dyDescent="0.3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4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17</v>
      </c>
      <c r="AF33" s="90"/>
      <c r="AG33" s="8"/>
      <c r="AI33" t="str">
        <f>CONCATENATE($B$30," ",$B$31,C33)</f>
        <v>Míra ŠedivýPoč. kol</v>
      </c>
    </row>
    <row r="34" spans="1:35" ht="14.4" thickTop="1" x14ac:dyDescent="0.25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9.9999999999999994E-12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1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1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9.9999999999999994E-12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3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6.0000000001</v>
      </c>
      <c r="AF34" s="81"/>
      <c r="AG34" s="8"/>
      <c r="AI34" t="str">
        <f>CONCATENATE($B$35," ",$B$36,C34)</f>
        <v>Jiří BlínVýhry</v>
      </c>
    </row>
    <row r="35" spans="1:35" ht="13.8" x14ac:dyDescent="0.25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1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1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9.9999999999999994E-12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9.9999999999999994E-12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9.9999999999999994E-12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10.000000000069997</v>
      </c>
      <c r="AF35" s="158">
        <f t="shared" ref="AF35" si="5">SUM(AE34-AE35)+AE34/10000-AE37/10000</f>
        <v>-4.0002999999699949</v>
      </c>
      <c r="AG35" s="8"/>
      <c r="AI35" t="str">
        <f>CONCATENATE($B$35," ",$B$36,C35)</f>
        <v>Jiří BlínProhry</v>
      </c>
    </row>
    <row r="36" spans="1:35" ht="13.8" x14ac:dyDescent="0.25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1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1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9.9999999999999994E-12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9.9999999999999994E-12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9.9999999999999994E-12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15.000000000069997</v>
      </c>
      <c r="AF36" s="81"/>
      <c r="AG36" s="8"/>
      <c r="AI36" t="str">
        <f>CONCATENATE($B$35," ",$B$36,C36)</f>
        <v>Jiří BlínPlaceno panáků</v>
      </c>
    </row>
    <row r="37" spans="1:35" ht="13.8" x14ac:dyDescent="0.25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2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9.9999999999999994E-12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9.9999999999999994E-12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9.9999999999999994E-12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1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9.0000000000799982</v>
      </c>
      <c r="AF37" s="81"/>
      <c r="AG37" s="8"/>
      <c r="AI37" t="str">
        <f>CONCATENATE($B$35," ",$B$36,C37)</f>
        <v>Jiří BlínPřehozy</v>
      </c>
    </row>
    <row r="38" spans="1:35" ht="14.4" thickBot="1" x14ac:dyDescent="0.3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3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3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2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4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4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49</v>
      </c>
      <c r="AF38" s="90"/>
      <c r="AG38" s="8"/>
      <c r="AI38" t="str">
        <f>CONCATENATE($B$35," ",$B$36,C38)</f>
        <v>Jiří BlínPoč. kol</v>
      </c>
    </row>
    <row r="39" spans="1:35" ht="14.4" thickTop="1" x14ac:dyDescent="0.25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9.9999999999999994E-12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9.9999999999999994E-12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9.9999999999999994E-12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1.1000000000000002E-10</v>
      </c>
      <c r="AF39" s="81"/>
      <c r="AG39" s="8"/>
      <c r="AI39" t="str">
        <f>CONCATENATE($B$40," ",$B$41,C39)</f>
        <v>Adam ŠmídVýhry</v>
      </c>
    </row>
    <row r="40" spans="1:35" ht="13.8" x14ac:dyDescent="0.25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1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9.9999999999999994E-12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1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10.000000000039998</v>
      </c>
      <c r="AF40" s="158">
        <f t="shared" ref="AF40" si="6">SUM(AE39-AE40)+AE39/10000-AE42/10000</f>
        <v>-10.000499999929994</v>
      </c>
      <c r="AG40" s="8"/>
      <c r="AI40" t="str">
        <f>CONCATENATE($B$40," ",$B$41,C40)</f>
        <v>Adam ŠmídProhry</v>
      </c>
    </row>
    <row r="41" spans="1:35" ht="13.8" x14ac:dyDescent="0.25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1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9.9999999999999994E-12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3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15.000000000039998</v>
      </c>
      <c r="AF41" s="81"/>
      <c r="AG41" s="8"/>
      <c r="AI41" t="str">
        <f>CONCATENATE($B$40," ",$B$41,C41)</f>
        <v>Adam ŠmídPlaceno panáků</v>
      </c>
    </row>
    <row r="42" spans="1:35" ht="13.8" x14ac:dyDescent="0.25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1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9.9999999999999994E-12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9.9999999999999994E-12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5.00000000006</v>
      </c>
      <c r="AF42" s="81"/>
      <c r="AG42" s="8"/>
      <c r="AI42" t="str">
        <f>CONCATENATE($B$40," ",$B$41,C42)</f>
        <v>Adam ŠmídPřehozy</v>
      </c>
    </row>
    <row r="43" spans="1:35" ht="14.4" thickBot="1" x14ac:dyDescent="0.3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3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1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1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31</v>
      </c>
      <c r="AF43" s="90"/>
      <c r="AG43" s="8"/>
      <c r="AI43" t="str">
        <f>CONCATENATE($B$40," ",$B$41,C43)</f>
        <v>Adam ŠmídPoč. kol</v>
      </c>
    </row>
    <row r="44" spans="1:35" ht="14.4" thickTop="1" x14ac:dyDescent="0.25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9.9999999999999994E-12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2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2.00000000004</v>
      </c>
      <c r="AF44" s="81"/>
      <c r="AG44" s="8"/>
      <c r="AI44" t="str">
        <f>CONCATENATE($B$45," ",$B$46,C44)</f>
        <v>Míra ChalupníkVýhry</v>
      </c>
    </row>
    <row r="45" spans="1:35" ht="13.8" x14ac:dyDescent="0.25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9.9999999999999994E-12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9.9999999999999994E-12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3.00000000003</v>
      </c>
      <c r="AF45" s="158">
        <f t="shared" ref="AF45" si="7">SUM(AE44-AE45)+AE44/10000-AE47/10000</f>
        <v>-0.99979999999000102</v>
      </c>
      <c r="AG45" s="8"/>
      <c r="AI45" t="str">
        <f>CONCATENATE($B$45," ",$B$46,C45)</f>
        <v>Míra ChalupníkProhry</v>
      </c>
    </row>
    <row r="46" spans="1:35" ht="13.8" x14ac:dyDescent="0.25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9.9999999999999994E-12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9.9999999999999994E-12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3.00000000003</v>
      </c>
      <c r="AF46" s="81"/>
      <c r="AG46" s="8"/>
      <c r="AI46" t="str">
        <f>CONCATENATE($B$45," ",$B$46,C46)</f>
        <v>Míra ChalupníkPlaceno panáků</v>
      </c>
    </row>
    <row r="47" spans="1:35" ht="13.8" x14ac:dyDescent="0.25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9.9999999999999994E-12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9.9999999999999994E-12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4.9999999999999995E-11</v>
      </c>
      <c r="AF47" s="81"/>
      <c r="AG47" s="8"/>
      <c r="AI47" t="str">
        <f>CONCATENATE($B$45," ",$B$46,C47)</f>
        <v>Míra ChalupníkPřehozy</v>
      </c>
    </row>
    <row r="48" spans="1:35" ht="14.4" thickBot="1" x14ac:dyDescent="0.3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3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3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17</v>
      </c>
      <c r="AF48" s="90"/>
      <c r="AG48" s="8"/>
      <c r="AI48" t="str">
        <f>CONCATENATE($B$45," ",$B$46,C48)</f>
        <v>Míra ChalupníkPoč. kol</v>
      </c>
    </row>
    <row r="49" spans="1:35" ht="14.4" thickTop="1" x14ac:dyDescent="0.25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1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1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1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2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1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13.000000000029999</v>
      </c>
      <c r="AF49" s="81"/>
      <c r="AG49" s="8"/>
      <c r="AI49" t="str">
        <f>CONCATENATE($B$50," ",$B$51,C49)</f>
        <v>Jarda KleinVýhry</v>
      </c>
    </row>
    <row r="50" spans="1:35" ht="13.8" x14ac:dyDescent="0.25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9.9999999999999994E-12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9.9999999999999994E-12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9.9999999999999994E-12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9.9999999999999994E-12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9.9999999999999994E-12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1.2000000000000003E-10</v>
      </c>
      <c r="AF50" s="158">
        <f t="shared" ref="AF50" si="8">SUM(AE49-AE50)+AE49/10000-AE52/10000</f>
        <v>13.000299999909997</v>
      </c>
      <c r="AG50" s="8"/>
      <c r="AI50" t="str">
        <f>CONCATENATE($B$50," ",$B$51,C50)</f>
        <v>Jarda KleinProhry</v>
      </c>
    </row>
    <row r="51" spans="1:35" ht="13.8" x14ac:dyDescent="0.25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9.9999999999999994E-12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9.9999999999999994E-12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9.9999999999999994E-12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9.9999999999999994E-12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9.9999999999999994E-12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1.2000000000000003E-10</v>
      </c>
      <c r="AF51" s="81"/>
      <c r="AG51" s="8"/>
      <c r="AI51" t="str">
        <f>CONCATENATE($B$50," ",$B$51,C51)</f>
        <v>Jarda KleinPlaceno panáků</v>
      </c>
    </row>
    <row r="52" spans="1:35" ht="13.8" x14ac:dyDescent="0.25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9.9999999999999994E-12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9.9999999999999994E-12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9.9999999999999994E-12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1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9.9999999999999994E-12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10.000000000049997</v>
      </c>
      <c r="AF52" s="81"/>
      <c r="AG52" s="8"/>
      <c r="AI52" t="str">
        <f>CONCATENATE($B$50," ",$B$51,C52)</f>
        <v>Jarda KleinPřehozy</v>
      </c>
    </row>
    <row r="53" spans="1:35" ht="14.4" thickBot="1" x14ac:dyDescent="0.3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3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3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3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4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4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44</v>
      </c>
      <c r="AF53" s="90"/>
      <c r="AG53" s="8"/>
      <c r="AI53" t="str">
        <f>CONCATENATE($B$50," ",$B$51,C53)</f>
        <v>Jarda KleinPoč. kol</v>
      </c>
    </row>
    <row r="54" spans="1:35" ht="14.4" thickTop="1" x14ac:dyDescent="0.25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1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7</v>
      </c>
      <c r="AF54" s="81"/>
      <c r="AG54" s="8"/>
      <c r="AI54" t="str">
        <f>CONCATENATE($B$55," ",$B$56,C54)</f>
        <v>Kuba ŠedivýVýhry</v>
      </c>
    </row>
    <row r="55" spans="1:35" ht="13.8" x14ac:dyDescent="0.25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9.9999999999999994E-12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3.00000000003</v>
      </c>
      <c r="AF55" s="158">
        <f t="shared" ref="AF55" si="9">SUM(AE54-AE55)+AE54/10000-AE57/10000</f>
        <v>4.0001999999699978</v>
      </c>
      <c r="AG55" s="8"/>
      <c r="AI55" t="str">
        <f>CONCATENATE($B$55," ",$B$56,C55)</f>
        <v>Kuba ŠedivýProhry</v>
      </c>
    </row>
    <row r="56" spans="1:35" ht="13.8" x14ac:dyDescent="0.25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9.9999999999999994E-12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5.00000000003</v>
      </c>
      <c r="AF56" s="81"/>
      <c r="AG56" s="8"/>
      <c r="AI56" t="str">
        <f>CONCATENATE($B$55," ",$B$56,C56)</f>
        <v>Kuba ŠedivýPlaceno panáků</v>
      </c>
    </row>
    <row r="57" spans="1:35" ht="13.8" x14ac:dyDescent="0.25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9.9999999999999994E-12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5.00000000002</v>
      </c>
      <c r="AF57" s="81"/>
      <c r="AG57" s="8"/>
      <c r="AI57" t="str">
        <f>CONCATENATE($B$55," ",$B$56,C57)</f>
        <v>Kuba ŠedivýPřehozy</v>
      </c>
    </row>
    <row r="58" spans="1:35" ht="14.4" thickBot="1" x14ac:dyDescent="0.3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3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21</v>
      </c>
      <c r="AF58" s="90"/>
      <c r="AG58" s="8"/>
      <c r="AI58" t="str">
        <f>CONCATENATE($B$55," ",$B$56,C58)</f>
        <v>Kuba ŠedivýPoč. kol</v>
      </c>
    </row>
    <row r="59" spans="1:35" ht="14.4" thickTop="1" x14ac:dyDescent="0.25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9.9999999999999994E-12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9.9999999999999994E-12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9.9999999999999994E-12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1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1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10.000000000059996</v>
      </c>
      <c r="AF59" s="81"/>
      <c r="AG59" s="8"/>
      <c r="AI59" t="str">
        <f>CONCATENATE($B$60," ",$B$61,C59)</f>
        <v>Standa RothVýhry</v>
      </c>
    </row>
    <row r="60" spans="1:35" ht="13.8" x14ac:dyDescent="0.25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2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9.9999999999999994E-12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9.9999999999999994E-12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1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2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11.000000000049997</v>
      </c>
      <c r="AF60" s="158">
        <f t="shared" ref="AF60" si="10">SUM(AE59-AE60)+AE59/10000-AE62/10000</f>
        <v>-0.99949999999000394</v>
      </c>
      <c r="AG60" s="8"/>
      <c r="AI60" t="str">
        <f>CONCATENATE($B$60," ",$B$61,C60)</f>
        <v>Standa RothProhry</v>
      </c>
    </row>
    <row r="61" spans="1:35" ht="13.8" x14ac:dyDescent="0.25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2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9.9999999999999994E-12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9.9999999999999994E-12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2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6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18.000000000049997</v>
      </c>
      <c r="AF61" s="81"/>
      <c r="AG61" s="8"/>
      <c r="AI61" t="str">
        <f>CONCATENATE($B$60," ",$B$61,C61)</f>
        <v>Standa RothPlaceno panáků</v>
      </c>
    </row>
    <row r="62" spans="1:35" ht="13.8" x14ac:dyDescent="0.25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9.9999999999999994E-12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9.9999999999999994E-12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1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9.9999999999999994E-12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9.9999999999999994E-12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5.00000000009</v>
      </c>
      <c r="AF62" s="81"/>
      <c r="AG62" s="8"/>
      <c r="AI62" t="str">
        <f>CONCATENATE($B$60," ",$B$61,C62)</f>
        <v>Standa RothPřehozy</v>
      </c>
    </row>
    <row r="63" spans="1:35" ht="14.4" thickBot="1" x14ac:dyDescent="0.3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4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1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3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4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4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48</v>
      </c>
      <c r="AF63" s="90"/>
      <c r="AG63" s="8"/>
      <c r="AI63" t="str">
        <f>CONCATENATE($B$60," ",$B$61,C63)</f>
        <v>Standa RothPoč. kol</v>
      </c>
    </row>
    <row r="64" spans="1:35" ht="14.4" thickTop="1" x14ac:dyDescent="0.25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81"/>
      <c r="AG64" s="8"/>
      <c r="AI64" t="str">
        <f>CONCATENATE($B$65," ",$B$66,C64)</f>
        <v>Pavla ŠmídováVýhry</v>
      </c>
    </row>
    <row r="65" spans="1:35" ht="13.8" x14ac:dyDescent="0.25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58">
        <f t="shared" ref="AF65" si="11">SUM(AE64-AE65)+AE64/10000-AE67/10000</f>
        <v>0</v>
      </c>
      <c r="AG65" s="8"/>
      <c r="AI65" t="str">
        <f>CONCATENATE($B$65," ",$B$66,C65)</f>
        <v>Pavla ŠmídováProhry</v>
      </c>
    </row>
    <row r="66" spans="1:35" ht="13.8" x14ac:dyDescent="0.25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81"/>
      <c r="AG66" s="8"/>
      <c r="AI66" t="str">
        <f>CONCATENATE($B$65," ",$B$66,C66)</f>
        <v>Pavla ŠmídováPlaceno panáků</v>
      </c>
    </row>
    <row r="67" spans="1:35" ht="13.8" x14ac:dyDescent="0.25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81"/>
      <c r="AG67" s="8"/>
      <c r="AI67" t="str">
        <f>CONCATENATE($B$65," ",$B$66,C67)</f>
        <v>Pavla ŠmídováPřehozy</v>
      </c>
    </row>
    <row r="68" spans="1:35" ht="14.4" thickBot="1" x14ac:dyDescent="0.3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90"/>
      <c r="AG68" s="8"/>
      <c r="AI68" t="str">
        <f>CONCATENATE($B$65," ",$B$66,C68)</f>
        <v>Pavla ŠmídováPoč. kol</v>
      </c>
    </row>
    <row r="69" spans="1:35" ht="14.4" hidden="1" thickTop="1" x14ac:dyDescent="0.25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 x14ac:dyDescent="0.25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 x14ac:dyDescent="0.25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 x14ac:dyDescent="0.25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 x14ac:dyDescent="0.3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 x14ac:dyDescent="0.25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 x14ac:dyDescent="0.25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 x14ac:dyDescent="0.25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 x14ac:dyDescent="0.25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 x14ac:dyDescent="0.3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 x14ac:dyDescent="0.25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 x14ac:dyDescent="0.25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 x14ac:dyDescent="0.25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 x14ac:dyDescent="0.25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 x14ac:dyDescent="0.3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zoomScaleNormal="100" workbookViewId="0">
      <selection activeCell="N2" sqref="N2"/>
    </sheetView>
  </sheetViews>
  <sheetFormatPr defaultColWidth="8.88671875" defaultRowHeight="13.2" x14ac:dyDescent="0.25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 x14ac:dyDescent="0.25">
      <c r="A1" s="157" t="str">
        <f>"Pořadí v šípech k "&amp;TEXT(MAX(Tabulka!D2:AE2),"ddd d. M. rrrr")&amp;"      na www.sipy.zlatyruce.cz"</f>
        <v>Pořadí v šípech k út 30. 6.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 x14ac:dyDescent="0.3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 x14ac:dyDescent="0.3">
      <c r="A3" s="54">
        <v>1</v>
      </c>
      <c r="B3" s="9" t="str">
        <f>List4!S2</f>
        <v>Milan Veselý</v>
      </c>
      <c r="C3" s="20">
        <f>IF(List4!K2&lt;-88888,-90000,INDEX(Tabulka!$B$4:$AF$84,MATCH(B3,Tabulka!$A$4:$A$84,0),31))</f>
        <v>13.000299999939996</v>
      </c>
      <c r="D3" s="18">
        <f>INDEX(Tabulka!$A$4:$AF$84,MATCH(B3,Tabulka!$A$4:$A$84,0)-1,31)</f>
        <v>18.000000000029999</v>
      </c>
      <c r="E3" s="18">
        <f>INDEX(Tabulka!$B$4:$AF$84,MATCH(B3,Tabulka!$A$4:$A$84,0)+3,30)</f>
        <v>54</v>
      </c>
      <c r="F3" s="18">
        <f>INDEX(Tabulka!$B$4:$AF$84,MATCH(B3,Tabulka!$A$4:$A$84,0),30)</f>
        <v>5.00000000009</v>
      </c>
      <c r="G3" s="18">
        <f>INDEX(Tabulka!$B$4:$AF$84,MATCH(B3,Tabulka!$A$4:$A$84,0)+2,30)</f>
        <v>15.000000000059998</v>
      </c>
      <c r="H3" s="19">
        <f>INDEX(Tabulka!$B$4:$AF$84,MATCH(B3,Tabulka!$A$4:$A$84,0)+1,30)</f>
        <v>7.00000000009</v>
      </c>
      <c r="L3" s="31" t="str">
        <f>IFERROR(List4!AB2,"")</f>
        <v>Petr Weiner</v>
      </c>
      <c r="M3" s="52">
        <f>IFERROR(List4!AA2,"")</f>
        <v>38.692309872307696</v>
      </c>
      <c r="Q3" s="8" t="s">
        <v>23</v>
      </c>
    </row>
    <row r="4" spans="1:17" ht="17.399999999999999" x14ac:dyDescent="0.3">
      <c r="A4" s="55">
        <v>2</v>
      </c>
      <c r="B4" s="10" t="str">
        <f>List4!S3</f>
        <v>Jarda Klein</v>
      </c>
      <c r="C4" s="21">
        <f>IF(List4!K3&lt;-88888,-90000,INDEX(Tabulka!$B$4:$AF$84,MATCH(B4,Tabulka!$A$4:$A$84,0),31))</f>
        <v>13.000299999909997</v>
      </c>
      <c r="D4" s="12">
        <f>INDEX(Tabulka!$A$4:$AF$84,MATCH(B4,Tabulka!$A$4:$A$84,0)-1,31)</f>
        <v>13.000000000029999</v>
      </c>
      <c r="E4" s="12">
        <f>INDEX(Tabulka!$B$4:$AF$84,MATCH(B4,Tabulka!$A$4:$A$84,0)+3,30)</f>
        <v>44</v>
      </c>
      <c r="F4" s="12">
        <f>INDEX(Tabulka!$B$4:$AF$84,MATCH(B4,Tabulka!$A$4:$A$84,0),30)</f>
        <v>1.2000000000000003E-10</v>
      </c>
      <c r="G4" s="12">
        <f>INDEX(Tabulka!$B$4:$AF$84,MATCH(B4,Tabulka!$A$4:$A$84,0)+2,30)</f>
        <v>10.000000000049997</v>
      </c>
      <c r="H4" s="13">
        <f>INDEX(Tabulka!$B$4:$AF$84,MATCH(B4,Tabulka!$A$4:$A$84,0)+1,30)</f>
        <v>1.2000000000000003E-10</v>
      </c>
      <c r="J4" s="32"/>
      <c r="L4" s="31" t="str">
        <f>IFERROR(List4!AB3,"")</f>
        <v>Jarda Klein</v>
      </c>
      <c r="M4" s="52">
        <f>IFERROR(List4!AA3,"")</f>
        <v>40.45454764454545</v>
      </c>
      <c r="Q4" s="8" t="s">
        <v>24</v>
      </c>
    </row>
    <row r="5" spans="1:17" ht="17.399999999999999" x14ac:dyDescent="0.3">
      <c r="A5" s="55">
        <v>3</v>
      </c>
      <c r="B5" s="10" t="str">
        <f>List4!S4</f>
        <v>Petr Weiner</v>
      </c>
      <c r="C5" s="21">
        <f>IF(List4!K4&lt;-88888,-90000,INDEX(Tabulka!$B$4:$AF$84,MATCH(B5,Tabulka!$A$4:$A$84,0),31))</f>
        <v>12.000099999919998</v>
      </c>
      <c r="D5" s="12">
        <f>INDEX(Tabulka!$A$4:$AF$84,MATCH(B5,Tabulka!$A$4:$A$84,0)-1,31)</f>
        <v>15.000000000029999</v>
      </c>
      <c r="E5" s="12">
        <f>INDEX(Tabulka!$B$4:$AF$84,MATCH(B5,Tabulka!$A$4:$A$84,0)+3,30)</f>
        <v>52</v>
      </c>
      <c r="F5" s="12">
        <f>INDEX(Tabulka!$B$4:$AF$84,MATCH(B5,Tabulka!$A$4:$A$84,0),30)</f>
        <v>3.00000000011</v>
      </c>
      <c r="G5" s="12">
        <f>INDEX(Tabulka!$B$4:$AF$84,MATCH(B5,Tabulka!$A$4:$A$84,0)+2,30)</f>
        <v>14.000000000049997</v>
      </c>
      <c r="H5" s="13">
        <f>INDEX(Tabulka!$B$4:$AF$84,MATCH(B5,Tabulka!$A$4:$A$84,0)+1,30)</f>
        <v>6.00000000011</v>
      </c>
      <c r="J5" s="32"/>
      <c r="L5" s="31" t="str">
        <f>IFERROR(List4!AB4,"")</f>
        <v>Kuba Šedivý</v>
      </c>
      <c r="M5" s="52">
        <f>IFERROR(List4!AA4,"")</f>
        <v>43.809525969523811</v>
      </c>
      <c r="Q5" s="8" t="s">
        <v>39</v>
      </c>
    </row>
    <row r="6" spans="1:17" ht="17.399999999999999" x14ac:dyDescent="0.3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7.0008999999699952</v>
      </c>
      <c r="D6" s="12">
        <f>INDEX(Tabulka!$A$4:$AF$84,MATCH(B6,Tabulka!$A$4:$A$84,0)-1,31)</f>
        <v>12.00000000006</v>
      </c>
      <c r="E6" s="12">
        <f>INDEX(Tabulka!$B$4:$AF$84,MATCH(B6,Tabulka!$A$4:$A$84,0)+3,30)</f>
        <v>55</v>
      </c>
      <c r="F6" s="12">
        <f>INDEX(Tabulka!$B$4:$AF$84,MATCH(B6,Tabulka!$A$4:$A$84,0),30)</f>
        <v>5.00000000009</v>
      </c>
      <c r="G6" s="12">
        <f>INDEX(Tabulka!$B$4:$AF$84,MATCH(B6,Tabulka!$A$4:$A$84,0)+2,30)</f>
        <v>3.00000000011</v>
      </c>
      <c r="H6" s="13">
        <f>INDEX(Tabulka!$B$4:$AF$84,MATCH(B6,Tabulka!$A$4:$A$84,0)+1,30)</f>
        <v>5.00000000009</v>
      </c>
      <c r="J6" s="32"/>
      <c r="L6" s="31" t="str">
        <f>IFERROR(List4!AB5,"")</f>
        <v>Jiří Fiala</v>
      </c>
      <c r="M6" s="52">
        <f>IFERROR(List4!AA5,"")</f>
        <v>45.00000215</v>
      </c>
      <c r="Q6" s="8" t="s">
        <v>25</v>
      </c>
    </row>
    <row r="7" spans="1:17" ht="17.399999999999999" x14ac:dyDescent="0.3">
      <c r="A7" s="55">
        <v>5</v>
      </c>
      <c r="B7" s="10" t="str">
        <f>List4!S6</f>
        <v>Kuba Šedivý</v>
      </c>
      <c r="C7" s="21">
        <f>IF(List4!K6&lt;-88888,-90000,INDEX(Tabulka!$B$4:$AF$84,MATCH(B7,Tabulka!$A$4:$A$84,0),31))</f>
        <v>4.0001999999699978</v>
      </c>
      <c r="D7" s="12">
        <f>INDEX(Tabulka!$A$4:$AF$84,MATCH(B7,Tabulka!$A$4:$A$84,0)-1,31)</f>
        <v>7</v>
      </c>
      <c r="E7" s="12">
        <f>INDEX(Tabulka!$B$4:$AF$84,MATCH(B7,Tabulka!$A$4:$A$84,0)+3,30)</f>
        <v>21</v>
      </c>
      <c r="F7" s="12">
        <f>INDEX(Tabulka!$B$4:$AF$84,MATCH(B7,Tabulka!$A$4:$A$84,0),30)</f>
        <v>3.00000000003</v>
      </c>
      <c r="G7" s="12">
        <f>INDEX(Tabulka!$B$4:$AF$84,MATCH(B7,Tabulka!$A$4:$A$84,0)+2,30)</f>
        <v>5.00000000002</v>
      </c>
      <c r="H7" s="13">
        <f>INDEX(Tabulka!$B$4:$AF$84,MATCH(B7,Tabulka!$A$4:$A$84,0)+1,30)</f>
        <v>5.00000000003</v>
      </c>
      <c r="J7" s="32"/>
      <c r="L7" s="31" t="str">
        <f>IFERROR(List4!AB6,"")</f>
        <v>Milan Veselý</v>
      </c>
      <c r="M7" s="52">
        <f>IFERROR(List4!AA6,"")</f>
        <v>48.925928125925921</v>
      </c>
      <c r="Q7" s="8" t="s">
        <v>37</v>
      </c>
    </row>
    <row r="8" spans="1:17" ht="17.399999999999999" x14ac:dyDescent="0.3">
      <c r="A8" s="55">
        <v>6</v>
      </c>
      <c r="B8" s="10" t="str">
        <f>List4!S7</f>
        <v>Jiří Fiala</v>
      </c>
      <c r="C8" s="21">
        <f>IF(List4!K7&lt;-88888,-90000,INDEX(Tabulka!$B$4:$AF$84,MATCH(B8,Tabulka!$A$4:$A$84,0),31))</f>
        <v>0</v>
      </c>
      <c r="D8" s="12">
        <f>INDEX(Tabulka!$A$4:$AF$84,MATCH(B8,Tabulka!$A$4:$A$84,0)-1,31)</f>
        <v>9.9999999999999994E-12</v>
      </c>
      <c r="E8" s="12">
        <f>INDEX(Tabulka!$B$4:$AF$84,MATCH(B8,Tabulka!$A$4:$A$84,0)+3,30)</f>
        <v>4</v>
      </c>
      <c r="F8" s="12">
        <f>INDEX(Tabulka!$B$4:$AF$84,MATCH(B8,Tabulka!$A$4:$A$84,0),30)</f>
        <v>9.9999999999999994E-12</v>
      </c>
      <c r="G8" s="12">
        <f>INDEX(Tabulka!$B$4:$AF$84,MATCH(B8,Tabulka!$A$4:$A$84,0)+2,30)</f>
        <v>9.9999999999999994E-12</v>
      </c>
      <c r="H8" s="13">
        <f>INDEX(Tabulka!$B$4:$AF$84,MATCH(B8,Tabulka!$A$4:$A$84,0)+1,30)</f>
        <v>9.9999999999999994E-12</v>
      </c>
      <c r="J8" s="32"/>
      <c r="L8" s="31" t="str">
        <f>IFERROR(List4!AB7,"")</f>
        <v>Pavel Pernekr</v>
      </c>
      <c r="M8" s="52">
        <f>IFERROR(List4!AA7,"")</f>
        <v>61.833335463333334</v>
      </c>
      <c r="Q8" s="8" t="s">
        <v>48</v>
      </c>
    </row>
    <row r="9" spans="1:17" ht="17.399999999999999" x14ac:dyDescent="0.3">
      <c r="A9" s="55">
        <v>7</v>
      </c>
      <c r="B9" s="10" t="str">
        <f>List4!S8</f>
        <v>Standa Roth</v>
      </c>
      <c r="C9" s="21">
        <f>IF(List4!K8&lt;-88888,-90000,INDEX(Tabulka!$B$4:$AF$84,MATCH(B9,Tabulka!$A$4:$A$84,0),31))</f>
        <v>-0.99949999999000394</v>
      </c>
      <c r="D9" s="12">
        <f>INDEX(Tabulka!$A$4:$AF$84,MATCH(B9,Tabulka!$A$4:$A$84,0)-1,31)</f>
        <v>10.000000000059996</v>
      </c>
      <c r="E9" s="12">
        <f>INDEX(Tabulka!$B$4:$AF$84,MATCH(B9,Tabulka!$A$4:$A$84,0)+3,30)</f>
        <v>48</v>
      </c>
      <c r="F9" s="12">
        <f>INDEX(Tabulka!$B$4:$AF$84,MATCH(B9,Tabulka!$A$4:$A$84,0),30)</f>
        <v>11.000000000049997</v>
      </c>
      <c r="G9" s="12">
        <f>INDEX(Tabulka!$B$4:$AF$84,MATCH(B9,Tabulka!$A$4:$A$84,0)+2,30)</f>
        <v>5.00000000009</v>
      </c>
      <c r="H9" s="13">
        <f>INDEX(Tabulka!$B$4:$AF$84,MATCH(B9,Tabulka!$A$4:$A$84,0)+1,30)</f>
        <v>18.000000000049997</v>
      </c>
      <c r="L9" s="31" t="str">
        <f>IFERROR(List4!AB8,"")</f>
        <v>Libor Hruška</v>
      </c>
      <c r="M9" s="52">
        <f>IFERROR(List4!AA8,"")</f>
        <v>62.40000217</v>
      </c>
      <c r="Q9" s="8" t="s">
        <v>49</v>
      </c>
    </row>
    <row r="10" spans="1:17" ht="17.399999999999999" x14ac:dyDescent="0.3">
      <c r="A10" s="55">
        <v>8</v>
      </c>
      <c r="B10" s="10" t="str">
        <f>List4!S9</f>
        <v>Pavel Pernekr</v>
      </c>
      <c r="C10" s="21">
        <f>IF(List4!K9&lt;-88888,-90000,INDEX(Tabulka!$B$4:$AF$84,MATCH(B10,Tabulka!$A$4:$A$84,0),31))</f>
        <v>-1.0002999999899971</v>
      </c>
      <c r="D10" s="12">
        <f>INDEX(Tabulka!$A$4:$AF$84,MATCH(B10,Tabulka!$A$4:$A$84,0)-1,31)</f>
        <v>3.00000000007</v>
      </c>
      <c r="E10" s="12">
        <f>INDEX(Tabulka!$B$4:$AF$84,MATCH(B10,Tabulka!$A$4:$A$84,0)+3,30)</f>
        <v>36</v>
      </c>
      <c r="F10" s="12">
        <f>INDEX(Tabulka!$B$4:$AF$84,MATCH(B10,Tabulka!$A$4:$A$84,0),30)</f>
        <v>4.00000000006</v>
      </c>
      <c r="G10" s="12">
        <f>INDEX(Tabulka!$B$4:$AF$84,MATCH(B10,Tabulka!$A$4:$A$84,0)+2,30)</f>
        <v>6.00000000004</v>
      </c>
      <c r="H10" s="13">
        <f>INDEX(Tabulka!$B$4:$AF$84,MATCH(B10,Tabulka!$A$4:$A$84,0)+1,30)</f>
        <v>5.00000000006</v>
      </c>
      <c r="L10" s="31" t="str">
        <f>IFERROR(List4!AB9,"")</f>
        <v>Míra Šedivý</v>
      </c>
      <c r="M10" s="52">
        <f>IFERROR(List4!AA9,"")</f>
        <v>72.882355051176461</v>
      </c>
    </row>
    <row r="11" spans="1:17" ht="17.399999999999999" x14ac:dyDescent="0.3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-0.99979999999000102</v>
      </c>
      <c r="D11" s="12">
        <f>INDEX(Tabulka!$A$4:$AF$84,MATCH(B11,Tabulka!$A$4:$A$84,0)-1,31)</f>
        <v>2.00000000004</v>
      </c>
      <c r="E11" s="12">
        <f>INDEX(Tabulka!$B$4:$AF$84,MATCH(B11,Tabulka!$A$4:$A$84,0)+3,30)</f>
        <v>17</v>
      </c>
      <c r="F11" s="12">
        <f>INDEX(Tabulka!$B$4:$AF$84,MATCH(B11,Tabulka!$A$4:$A$84,0),30)</f>
        <v>3.00000000003</v>
      </c>
      <c r="G11" s="12">
        <f>INDEX(Tabulka!$B$4:$AF$84,MATCH(B11,Tabulka!$A$4:$A$84,0)+2,30)</f>
        <v>4.9999999999999995E-11</v>
      </c>
      <c r="H11" s="13">
        <f>INDEX(Tabulka!$B$4:$AF$84,MATCH(B11,Tabulka!$A$4:$A$84,0)+1,30)</f>
        <v>3.00000000003</v>
      </c>
      <c r="L11" s="31" t="str">
        <f>IFERROR(List4!AB10,"")</f>
        <v>Jiří Blín</v>
      </c>
      <c r="M11" s="52">
        <f>IFERROR(List4!AA10,"")</f>
        <v>73.959185773469386</v>
      </c>
    </row>
    <row r="12" spans="1:17" ht="17.399999999999999" x14ac:dyDescent="0.3">
      <c r="A12" s="55">
        <v>10</v>
      </c>
      <c r="B12" s="10" t="str">
        <f>List4!S11</f>
        <v>Míra Šedivý</v>
      </c>
      <c r="C12" s="21">
        <f>IF(List4!K11&lt;-88888,-90000,INDEX(Tabulka!$B$4:$AF$84,MATCH(B12,Tabulka!$A$4:$A$84,0),31))</f>
        <v>-3.0003999999799982</v>
      </c>
      <c r="D12" s="12">
        <f>INDEX(Tabulka!$A$4:$AF$84,MATCH(B12,Tabulka!$A$4:$A$84,0)-1,31)</f>
        <v>1.00000000003</v>
      </c>
      <c r="E12" s="12">
        <f>INDEX(Tabulka!$B$4:$AF$84,MATCH(B12,Tabulka!$A$4:$A$84,0)+3,30)</f>
        <v>17</v>
      </c>
      <c r="F12" s="12">
        <f>INDEX(Tabulka!$B$4:$AF$84,MATCH(B12,Tabulka!$A$4:$A$84,0),30)</f>
        <v>4.00000000001</v>
      </c>
      <c r="G12" s="12">
        <f>INDEX(Tabulka!$B$4:$AF$84,MATCH(B12,Tabulka!$A$4:$A$84,0)+2,30)</f>
        <v>5.00000000001</v>
      </c>
      <c r="H12" s="13">
        <f>INDEX(Tabulka!$B$4:$AF$84,MATCH(B12,Tabulka!$A$4:$A$84,0)+1,30)</f>
        <v>5.00000000001</v>
      </c>
      <c r="L12" s="31" t="str">
        <f>IFERROR(List4!AB11,"")</f>
        <v>Standa Roth</v>
      </c>
      <c r="M12" s="52">
        <f>IFERROR(List4!AA11,"")</f>
        <v>76.604168806666678</v>
      </c>
    </row>
    <row r="13" spans="1:17" ht="17.399999999999999" x14ac:dyDescent="0.3">
      <c r="A13" s="55">
        <v>11</v>
      </c>
      <c r="B13" s="10" t="str">
        <f>List4!S12</f>
        <v>Jiří Blín</v>
      </c>
      <c r="C13" s="21">
        <f>IF(List4!K12&lt;-88888,-90000,INDEX(Tabulka!$B$4:$AF$84,MATCH(B13,Tabulka!$A$4:$A$84,0),31))</f>
        <v>-4.0002999999699949</v>
      </c>
      <c r="D13" s="12">
        <f>INDEX(Tabulka!$A$4:$AF$84,MATCH(B13,Tabulka!$A$4:$A$84,0)-1,31)</f>
        <v>6.0000000001</v>
      </c>
      <c r="E13" s="12">
        <f>INDEX(Tabulka!$B$4:$AF$84,MATCH(B13,Tabulka!$A$4:$A$84,0)+3,30)</f>
        <v>49</v>
      </c>
      <c r="F13" s="12">
        <f>INDEX(Tabulka!$B$4:$AF$84,MATCH(B13,Tabulka!$A$4:$A$84,0),30)</f>
        <v>10.000000000069997</v>
      </c>
      <c r="G13" s="12">
        <f>INDEX(Tabulka!$B$4:$AF$84,MATCH(B13,Tabulka!$A$4:$A$84,0)+2,30)</f>
        <v>9.0000000000799982</v>
      </c>
      <c r="H13" s="13">
        <f>INDEX(Tabulka!$B$4:$AF$84,MATCH(B13,Tabulka!$A$4:$A$84,0)+1,30)</f>
        <v>15.000000000069997</v>
      </c>
      <c r="L13" s="31" t="str">
        <f>IFERROR(List4!AB12,"")</f>
        <v>Adam Šmíd</v>
      </c>
      <c r="M13" s="52">
        <f>IFERROR(List4!AA12,"")</f>
        <v>94.064518219032252</v>
      </c>
    </row>
    <row r="14" spans="1:17" ht="17.399999999999999" x14ac:dyDescent="0.3">
      <c r="A14" s="55">
        <v>12</v>
      </c>
      <c r="B14" s="10" t="str">
        <f>List4!S13</f>
        <v>Adam Šmíd</v>
      </c>
      <c r="C14" s="21">
        <f>IF(List4!K13&lt;-88888,-90000,INDEX(Tabulka!$B$4:$AF$84,MATCH(B14,Tabulka!$A$4:$A$84,0),31))</f>
        <v>-10.000499999929994</v>
      </c>
      <c r="D14" s="12">
        <f>INDEX(Tabulka!$A$4:$AF$84,MATCH(B14,Tabulka!$A$4:$A$84,0)-1,31)</f>
        <v>1.1000000000000002E-10</v>
      </c>
      <c r="E14" s="12">
        <f>INDEX(Tabulka!$B$4:$AF$84,MATCH(B14,Tabulka!$A$4:$A$84,0)+3,30)</f>
        <v>31</v>
      </c>
      <c r="F14" s="12">
        <f>INDEX(Tabulka!$B$4:$AF$84,MATCH(B14,Tabulka!$A$4:$A$84,0),30)</f>
        <v>10.000000000039998</v>
      </c>
      <c r="G14" s="12">
        <f>INDEX(Tabulka!$B$4:$AF$84,MATCH(B14,Tabulka!$A$4:$A$84,0)+2,30)</f>
        <v>5.00000000006</v>
      </c>
      <c r="H14" s="13">
        <f>INDEX(Tabulka!$B$4:$AF$84,MATCH(B14,Tabulka!$A$4:$A$84,0)+1,30)</f>
        <v>15.000000000039998</v>
      </c>
      <c r="L14" s="31" t="str">
        <f>IFERROR(List4!AB13,"")</f>
        <v>Míra Chalupník</v>
      </c>
      <c r="M14" s="52">
        <f>IFERROR(List4!AA13,"")</f>
        <v>99.470590355294121</v>
      </c>
    </row>
    <row r="15" spans="1:17" ht="18" thickBot="1" x14ac:dyDescent="0.35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 x14ac:dyDescent="0.25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 x14ac:dyDescent="0.25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 x14ac:dyDescent="0.25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 x14ac:dyDescent="0.25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-4.0002977999699949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Jarda Klein</v>
      </c>
      <c r="K2" s="41">
        <f t="shared" ref="K2:K14" si="3">LARGE($C$2:$C$14,ROW(I2)-1)</f>
        <v>13.000302159909996</v>
      </c>
      <c r="L2" s="141">
        <f>INDEX(Tabulka!$A$4:$AF$84,MATCH(J2,Tabulka!$A$4:$A$84,0)-1,31)+INDEX($D$2:$E$14,MATCH(K2,$C$2:$C$14,0),2)</f>
        <v>13.000002160029998</v>
      </c>
      <c r="M2" s="141">
        <f>INDEX(Tabulka!$A$4:$AF$80,MATCH(List4!$J2,Tabulka!$A$4:$A$80,0)+3,31)+INDEX($D$2:$E$14,MATCH(K2,$C$2:$C$14,0),2)</f>
        <v>44.000002160000001</v>
      </c>
      <c r="N2" s="141">
        <f>INDEX(Tabulka!$B$4:$AF$84,MATCH(J2,Tabulka!$A$4:$A$84,0),30)+INDEX($D$2:$E$14,MATCH(K2,$C$2:$C$14,0),2)</f>
        <v>2.1601200000000004E-6</v>
      </c>
      <c r="O2" s="141">
        <f>INDEX(Tabulka!$B$4:$AF$84,MATCH(J2,Tabulka!$A$4:$A$84,0)+2,30)+INDEX($D$2:$E$14,MATCH(K2,$C$2:$C$14,0),2)</f>
        <v>10.000002160049997</v>
      </c>
      <c r="P2" s="141">
        <f>INDEX(Tabulka!$B$4:$AF$84,MATCH(J2,Tabulka!$A$4:$A$84,0)+1,30)+INDEX($D$2:$E$14,MATCH(K2,$C$2:$C$14,0),2)</f>
        <v>2.1601200000000004E-6</v>
      </c>
      <c r="Q2" s="6">
        <f t="shared" ref="Q2:Q14" si="4">IF(K2&lt;-888,K2*100000,K2*138000+IF(K2&lt;0,IF(AVERAGE($M$2:$M$14)-20&lt;M2,M2*100,M2*150),IF(AVERAGE($M$2:$M$14)-20&lt;M2,M2*-100,M2*-150)+P2*-100+O2*-20+L2*4000))</f>
        <v>1841441.7062324863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Milan Veselý</v>
      </c>
      <c r="T2" s="49">
        <f t="shared" ref="T2:T13" si="6">LARGE($Q$2:$Q$14,ROW(S2)-1)</f>
        <v>1859641.6963120291</v>
      </c>
      <c r="U2" s="50">
        <f t="shared" ref="U2:U14" si="7">INDEX($K$2:$K$14,MATCH($S2,$J$2:$J$14,0))</f>
        <v>13.000302089939996</v>
      </c>
      <c r="V2" s="50">
        <f t="shared" ref="V2:V14" si="8">INDEX($K$2:$K$14,MATCH($S2,$J$2:$J$14,0))*-1</f>
        <v>-13.000302089939996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48.925928125925921</v>
      </c>
      <c r="X2" s="43">
        <v>1</v>
      </c>
      <c r="Y2" s="51">
        <f t="shared" ref="Y2:Y14" si="9">IF(OR($AA$1="Výhry",$AA$1="Poč. kol")=TRUE,LARGE($W$2:$W$14,X2),SMALL($W$2:$W$14,X2))</f>
        <v>38.692309872307696</v>
      </c>
      <c r="Z2" s="51"/>
      <c r="AA2" s="51">
        <f t="shared" ref="AA2:AA14" si="10">IF(ROUND(ABS(W2),0)=ABS(90000),"Neklas",IF(OR($AA$1="Výhry",$AA$1="Poč. kol")=TRUE,LARGE($W$2:$W$14,X2),SMALL($W$2:$W$14,X2)))</f>
        <v>38.692309872307696</v>
      </c>
      <c r="AB2" s="43" t="str">
        <f t="shared" ref="AB2:AB14" si="11">INDEX($S$2:$S$14,MATCH($Y2,$W$2:$W$14,0),1)</f>
        <v>Petr Weiner</v>
      </c>
      <c r="AG2" s="8" t="s">
        <v>23</v>
      </c>
    </row>
    <row r="3" spans="1:33" x14ac:dyDescent="0.25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2.1900000000000002E-6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13.000302089939996</v>
      </c>
      <c r="L3" s="141">
        <f>INDEX(Tabulka!$A$4:$AF$84,MATCH(J3,Tabulka!$A$4:$A$84,0)-1,31)+INDEX($D$2:$E$14,MATCH(K3,$C$2:$C$14,0),2)</f>
        <v>18.000002090029998</v>
      </c>
      <c r="M3" s="141">
        <f>INDEX(Tabulka!$A$4:$AF$80,MATCH(List4!$J3,Tabulka!$A$4:$A$80,0)+3,31)+INDEX($D$2:$E$14,MATCH(K3,$C$2:$C$14,0),2)</f>
        <v>54.000002090000002</v>
      </c>
      <c r="N3" s="141">
        <f>INDEX(Tabulka!$B$4:$AF$84,MATCH(J3,Tabulka!$A$4:$A$84,0),30)+INDEX($D$2:$E$14,MATCH(K3,$C$2:$C$14,0),2)</f>
        <v>5.0000020900899997</v>
      </c>
      <c r="O3" s="141">
        <f>INDEX(Tabulka!$B$4:$AF$84,MATCH(J3,Tabulka!$A$4:$A$84,0)+2,30)+INDEX($D$2:$E$14,MATCH(K3,$C$2:$C$14,0),2)</f>
        <v>15.000002090059999</v>
      </c>
      <c r="P3" s="141">
        <f>INDEX(Tabulka!$B$4:$AF$84,MATCH(J3,Tabulka!$A$4:$A$84,0)+1,30)+INDEX($D$2:$E$14,MATCH(K3,$C$2:$C$14,0),2)</f>
        <v>7.0000020900899997</v>
      </c>
      <c r="Q3" s="6">
        <f t="shared" si="4"/>
        <v>1859641.6963120291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Jarda Klein</v>
      </c>
      <c r="T3" s="49">
        <f t="shared" si="6"/>
        <v>1841441.7062324863</v>
      </c>
      <c r="U3" s="50">
        <f t="shared" si="7"/>
        <v>13.000302159909996</v>
      </c>
      <c r="V3" s="50">
        <f t="shared" si="8"/>
        <v>-13.000302159909996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40.45454764454545</v>
      </c>
      <c r="X3" s="43">
        <v>2</v>
      </c>
      <c r="Y3" s="51">
        <f t="shared" si="9"/>
        <v>40.45454764454545</v>
      </c>
      <c r="Z3" s="51"/>
      <c r="AA3" s="51">
        <f t="shared" si="10"/>
        <v>40.45454764454545</v>
      </c>
      <c r="AB3" s="43" t="str">
        <f t="shared" si="11"/>
        <v>Jarda Klein</v>
      </c>
      <c r="AG3" s="8" t="s">
        <v>24</v>
      </c>
    </row>
    <row r="4" spans="1:33" x14ac:dyDescent="0.25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7.0009021799699953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Petr Weiner</v>
      </c>
      <c r="K4" s="41">
        <f t="shared" si="3"/>
        <v>12.000102079919998</v>
      </c>
      <c r="L4" s="141">
        <f>INDEX(Tabulka!$A$4:$AF$84,MATCH(J4,Tabulka!$A$4:$A$84,0)-1,31)+INDEX($D$2:$E$14,MATCH(K4,$C$2:$C$14,0),2)</f>
        <v>15.000002080029999</v>
      </c>
      <c r="M4" s="141">
        <f>INDEX(Tabulka!$A$4:$AF$80,MATCH(List4!$J4,Tabulka!$A$4:$A$80,0)+3,31)+INDEX($D$2:$E$14,MATCH(K4,$C$2:$C$14,0),2)</f>
        <v>52.000002080000002</v>
      </c>
      <c r="N4" s="142">
        <f>INDEX(Tabulka!$B$4:$AF$84,MATCH(J4,Tabulka!$A$4:$A$84,0),30)+INDEX($D$2:$E$14,MATCH(K4,$C$2:$C$14,0),2)</f>
        <v>3.0000020801099998</v>
      </c>
      <c r="O4" s="141">
        <f>INDEX(Tabulka!$B$4:$AF$84,MATCH(J4,Tabulka!$A$4:$A$84,0)+2,30)+INDEX($D$2:$E$14,MATCH(K4,$C$2:$C$14,0),2)</f>
        <v>14.000002080049997</v>
      </c>
      <c r="P4" s="141">
        <f>INDEX(Tabulka!$B$4:$AF$84,MATCH(J4,Tabulka!$A$4:$A$84,0)+1,30)+INDEX($D$2:$E$14,MATCH(K4,$C$2:$C$14,0),2)</f>
        <v>6.0000020801099998</v>
      </c>
      <c r="Q4" s="6">
        <f t="shared" si="4"/>
        <v>1709934.0948914678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Petr Weiner</v>
      </c>
      <c r="T4" s="49">
        <f t="shared" si="6"/>
        <v>1709934.0948914678</v>
      </c>
      <c r="U4" s="50">
        <f t="shared" si="7"/>
        <v>12.000102079919998</v>
      </c>
      <c r="V4" s="50">
        <f t="shared" si="8"/>
        <v>-12.000102079919998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38.692309872307696</v>
      </c>
      <c r="X4" s="43">
        <v>3</v>
      </c>
      <c r="Y4" s="51">
        <f t="shared" si="9"/>
        <v>43.809525969523811</v>
      </c>
      <c r="Z4" s="51"/>
      <c r="AA4" s="51">
        <f t="shared" si="10"/>
        <v>43.809525969523811</v>
      </c>
      <c r="AB4" s="43" t="str">
        <f t="shared" si="11"/>
        <v>Kuba Šedivý</v>
      </c>
      <c r="AG4" s="8" t="s">
        <v>39</v>
      </c>
    </row>
    <row r="5" spans="1:33" x14ac:dyDescent="0.25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-0.999797829990001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7.0009021799699953</v>
      </c>
      <c r="L5" s="141">
        <f>INDEX(Tabulka!$A$4:$AF$84,MATCH(J5,Tabulka!$A$4:$A$84,0)-1,31)+INDEX($D$2:$E$14,MATCH(K5,$C$2:$C$14,0),2)</f>
        <v>12.000002180059999</v>
      </c>
      <c r="M5" s="141">
        <f>INDEX(Tabulka!$A$4:$AF$80,MATCH(List4!$J5,Tabulka!$A$4:$A$80,0)+3,31)+INDEX($D$2:$E$14,MATCH(K5,$C$2:$C$14,0),2)</f>
        <v>55.000002180000003</v>
      </c>
      <c r="N5" s="141">
        <f>INDEX(Tabulka!$B$4:$AF$84,MATCH(J5,Tabulka!$A$4:$A$84,0),30)+INDEX($D$2:$E$14,MATCH(K5,$C$2:$C$14,0),2)</f>
        <v>5.0000021800900001</v>
      </c>
      <c r="O5" s="141">
        <f>INDEX(Tabulka!$B$4:$AF$84,MATCH(J5,Tabulka!$A$4:$A$84,0)+2,30)+INDEX($D$2:$E$14,MATCH(K5,$C$2:$C$14,0),2)</f>
        <v>3.0000021801100001</v>
      </c>
      <c r="P5" s="141">
        <f>INDEX(Tabulka!$B$4:$AF$84,MATCH(J5,Tabulka!$A$4:$A$84,0)+1,30)+INDEX($D$2:$E$14,MATCH(K5,$C$2:$C$14,0),2)</f>
        <v>5.0000021800900001</v>
      </c>
      <c r="Q5" s="6">
        <f t="shared" si="4"/>
        <v>1008064.5090764881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1008064.5090764881</v>
      </c>
      <c r="U5" s="50">
        <f t="shared" si="7"/>
        <v>7.0009021799699953</v>
      </c>
      <c r="V5" s="50">
        <f t="shared" si="8"/>
        <v>-7.0009021799699953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62.40000217</v>
      </c>
      <c r="X5" s="43">
        <v>4</v>
      </c>
      <c r="Y5" s="51">
        <f t="shared" si="9"/>
        <v>45.00000215</v>
      </c>
      <c r="Z5" s="51"/>
      <c r="AA5" s="51">
        <f t="shared" si="10"/>
        <v>45.00000215</v>
      </c>
      <c r="AB5" s="43" t="str">
        <f t="shared" si="11"/>
        <v>Jiří Fiala</v>
      </c>
      <c r="AG5" s="8" t="s">
        <v>25</v>
      </c>
    </row>
    <row r="6" spans="1:33" x14ac:dyDescent="0.25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13.000302159909996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4.0002021299699981</v>
      </c>
      <c r="L6" s="141">
        <f>INDEX(Tabulka!$A$4:$AF$84,MATCH(J6,Tabulka!$A$4:$A$84,0)-1,31)+INDEX($D$2:$E$14,MATCH(K6,$C$2:$C$14,0),2)</f>
        <v>7.0000021300000004</v>
      </c>
      <c r="M6" s="141">
        <f>INDEX(Tabulka!$A$4:$AF$80,MATCH(List4!$J6,Tabulka!$A$4:$A$80,0)+3,31)+INDEX($D$2:$E$14,MATCH(K6,$C$2:$C$14,0),2)</f>
        <v>21.000002129999999</v>
      </c>
      <c r="N6" s="141">
        <f>INDEX(Tabulka!$B$4:$AF$84,MATCH(J6,Tabulka!$A$4:$A$84,0),30)+INDEX($D$2:$E$14,MATCH(K6,$C$2:$C$14,0),2)</f>
        <v>3.0000021300299999</v>
      </c>
      <c r="O6" s="141">
        <f>INDEX(Tabulka!$B$4:$AF$84,MATCH(J6,Tabulka!$A$4:$A$84,0)+2,30)+INDEX($D$2:$E$14,MATCH(K6,$C$2:$C$14,0),2)</f>
        <v>5.0000021300200004</v>
      </c>
      <c r="P6" s="141">
        <f>INDEX(Tabulka!$B$4:$AF$84,MATCH(J6,Tabulka!$A$4:$A$84,0)+1,30)+INDEX($D$2:$E$14,MATCH(K6,$C$2:$C$14,0),2)</f>
        <v>5.0000021300300004</v>
      </c>
      <c r="Q6" s="6">
        <f t="shared" si="4"/>
        <v>577327.90198725637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Kuba Šedivý</v>
      </c>
      <c r="T6" s="49">
        <f t="shared" si="6"/>
        <v>577327.90198725637</v>
      </c>
      <c r="U6" s="50">
        <f t="shared" si="7"/>
        <v>4.0002021299699981</v>
      </c>
      <c r="V6" s="50">
        <f t="shared" si="8"/>
        <v>-4.0002021299699981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43.809525969523811</v>
      </c>
      <c r="X6" s="43">
        <v>5</v>
      </c>
      <c r="Y6" s="51">
        <f t="shared" si="9"/>
        <v>48.925928125925921</v>
      </c>
      <c r="Z6" s="51"/>
      <c r="AA6" s="51">
        <f t="shared" si="10"/>
        <v>48.925928125925921</v>
      </c>
      <c r="AB6" s="43" t="str">
        <f t="shared" si="11"/>
        <v>Milan Veselý</v>
      </c>
      <c r="AG6" s="8" t="s">
        <v>37</v>
      </c>
    </row>
    <row r="7" spans="1:33" x14ac:dyDescent="0.25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-1.000297849989997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Jiří Fiala</v>
      </c>
      <c r="K7" s="41">
        <f t="shared" si="3"/>
        <v>2.1900000000000002E-6</v>
      </c>
      <c r="L7" s="141">
        <f>INDEX(Tabulka!$A$4:$AF$84,MATCH(J7,Tabulka!$A$4:$A$84,0)-1,31)+INDEX($D$2:$E$14,MATCH(K7,$C$2:$C$14,0),2)</f>
        <v>2.1900100000000001E-6</v>
      </c>
      <c r="M7" s="141">
        <f>INDEX(Tabulka!$A$4:$AF$80,MATCH(List4!$J7,Tabulka!$A$4:$A$80,0)+3,31)+INDEX($D$2:$E$14,MATCH(K7,$C$2:$C$14,0),2)</f>
        <v>4.00000219</v>
      </c>
      <c r="N7" s="141">
        <f>INDEX(Tabulka!$B$4:$AF$84,MATCH(J7,Tabulka!$A$4:$A$84,0),30)+INDEX($D$2:$E$14,MATCH(K7,$C$2:$C$14,0),2)</f>
        <v>2.1900100000000001E-6</v>
      </c>
      <c r="O7" s="141">
        <f>INDEX(Tabulka!$B$4:$AF$84,MATCH(J7,Tabulka!$A$4:$A$84,0)+2,30)+INDEX($D$2:$E$14,MATCH(K7,$C$2:$C$14,0),2)</f>
        <v>2.1900100000000001E-6</v>
      </c>
      <c r="P7" s="141">
        <f>INDEX(Tabulka!$B$4:$AF$84,MATCH(J7,Tabulka!$A$4:$A$84,0)+1,30)+INDEX($D$2:$E$14,MATCH(K7,$C$2:$C$14,0),2)</f>
        <v>2.1900100000000001E-6</v>
      </c>
      <c r="Q7" s="6">
        <f t="shared" si="4"/>
        <v>-399.68950176120001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Jiří Fiala</v>
      </c>
      <c r="T7" s="49">
        <f t="shared" si="6"/>
        <v>-399.68950176120001</v>
      </c>
      <c r="U7" s="50">
        <f t="shared" si="7"/>
        <v>2.1900000000000002E-6</v>
      </c>
      <c r="V7" s="50">
        <f t="shared" si="8"/>
        <v>-2.1900000000000002E-6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45.00000215</v>
      </c>
      <c r="X7" s="43">
        <v>6</v>
      </c>
      <c r="Y7" s="51">
        <f t="shared" si="9"/>
        <v>61.833335463333334</v>
      </c>
      <c r="Z7" s="51"/>
      <c r="AA7" s="51">
        <f t="shared" si="10"/>
        <v>61.833335463333334</v>
      </c>
      <c r="AB7" s="43" t="str">
        <f t="shared" si="11"/>
        <v>Pavel Pernekr</v>
      </c>
      <c r="AG7" s="8" t="s">
        <v>48</v>
      </c>
    </row>
    <row r="8" spans="1:33" x14ac:dyDescent="0.25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-0.99949785999000396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Standa Roth</v>
      </c>
      <c r="K8" s="41">
        <f t="shared" si="3"/>
        <v>-0.99949785999000396</v>
      </c>
      <c r="L8" s="141">
        <f>INDEX(Tabulka!$A$4:$AF$84,MATCH(J8,Tabulka!$A$4:$A$84,0)-1,31)+INDEX($D$2:$E$14,MATCH(K8,$C$2:$C$14,0),2)</f>
        <v>10.000002140059996</v>
      </c>
      <c r="M8" s="141">
        <f>INDEX(Tabulka!$A$4:$AF$80,MATCH(List4!$J8,Tabulka!$A$4:$A$80,0)+3,31)+INDEX($D$2:$E$14,MATCH(K8,$C$2:$C$14,0),2)</f>
        <v>48.000002139999999</v>
      </c>
      <c r="N8" s="141">
        <f>INDEX(Tabulka!$B$4:$AF$84,MATCH(J8,Tabulka!$A$4:$A$84,0),30)+INDEX($D$2:$E$14,MATCH(K8,$C$2:$C$14,0),2)</f>
        <v>11.000002140049997</v>
      </c>
      <c r="O8" s="141">
        <f>INDEX(Tabulka!$B$4:$AF$84,MATCH(J8,Tabulka!$A$4:$A$84,0)+2,30)+INDEX($D$2:$E$14,MATCH(K8,$C$2:$C$14,0),2)</f>
        <v>5.0000021400900003</v>
      </c>
      <c r="P8" s="141">
        <f>INDEX(Tabulka!$B$4:$AF$84,MATCH(J8,Tabulka!$A$4:$A$84,0)+1,30)+INDEX($D$2:$E$14,MATCH(K8,$C$2:$C$14,0),2)</f>
        <v>18.000002140049997</v>
      </c>
      <c r="Q8" s="6">
        <f t="shared" si="4"/>
        <v>-133130.70446462053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Standa Roth</v>
      </c>
      <c r="T8" s="49">
        <f t="shared" si="6"/>
        <v>-133130.70446462053</v>
      </c>
      <c r="U8" s="50">
        <f t="shared" si="7"/>
        <v>-0.99949785999000396</v>
      </c>
      <c r="V8" s="50">
        <f t="shared" si="8"/>
        <v>0.99949785999000396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76.604168806666678</v>
      </c>
      <c r="X8" s="43">
        <v>7</v>
      </c>
      <c r="Y8" s="51">
        <f t="shared" si="9"/>
        <v>62.40000217</v>
      </c>
      <c r="Z8" s="51"/>
      <c r="AA8" s="51">
        <f t="shared" si="10"/>
        <v>62.40000217</v>
      </c>
      <c r="AB8" s="43" t="str">
        <f t="shared" si="11"/>
        <v>Libor Hruška</v>
      </c>
      <c r="AG8" s="8" t="s">
        <v>49</v>
      </c>
    </row>
    <row r="9" spans="1:33" x14ac:dyDescent="0.25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4.0002021299699981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Chalupník</v>
      </c>
      <c r="K9" s="41">
        <f t="shared" si="3"/>
        <v>-0.999797829990001</v>
      </c>
      <c r="L9" s="141">
        <f>INDEX(Tabulka!$A$4:$AF$84,MATCH(J9,Tabulka!$A$4:$A$84,0)-1,31)+INDEX($D$2:$E$14,MATCH(K9,$C$2:$C$14,0),2)</f>
        <v>2.0000021700400001</v>
      </c>
      <c r="M9" s="141">
        <f>INDEX(Tabulka!$A$4:$AF$80,MATCH(List4!$J9,Tabulka!$A$4:$A$80,0)+3,31)+INDEX($D$2:$E$14,MATCH(K9,$C$2:$C$14,0),2)</f>
        <v>17.000002169999998</v>
      </c>
      <c r="N9" s="141">
        <f>INDEX(Tabulka!$B$4:$AF$84,MATCH(J9,Tabulka!$A$4:$A$84,0),30)+INDEX($D$2:$E$14,MATCH(K9,$C$2:$C$14,0),2)</f>
        <v>3.0000021700300001</v>
      </c>
      <c r="O9" s="141">
        <f>INDEX(Tabulka!$B$4:$AF$84,MATCH(J9,Tabulka!$A$4:$A$84,0)+2,30)+INDEX($D$2:$E$14,MATCH(K9,$C$2:$C$14,0),2)</f>
        <v>2.1700500000000005E-6</v>
      </c>
      <c r="P9" s="141">
        <f>INDEX(Tabulka!$B$4:$AF$84,MATCH(J9,Tabulka!$A$4:$A$84,0)+1,30)+INDEX($D$2:$E$14,MATCH(K9,$C$2:$C$14,0),2)</f>
        <v>3.0000021700300001</v>
      </c>
      <c r="Q9" s="6">
        <f t="shared" si="4"/>
        <v>-136272.10032162015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Pavel Pernekr</v>
      </c>
      <c r="T9" s="49">
        <f t="shared" si="6"/>
        <v>-134441.10308361959</v>
      </c>
      <c r="U9" s="50">
        <f t="shared" si="7"/>
        <v>-1.000297849989997</v>
      </c>
      <c r="V9" s="50">
        <f t="shared" si="8"/>
        <v>1.000297849989997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61.833335463333334</v>
      </c>
      <c r="X9" s="43">
        <v>8</v>
      </c>
      <c r="Y9" s="51">
        <f t="shared" si="9"/>
        <v>72.882355051176461</v>
      </c>
      <c r="Z9" s="51"/>
      <c r="AA9" s="51">
        <f t="shared" si="10"/>
        <v>72.882355051176461</v>
      </c>
      <c r="AB9" s="43" t="str">
        <f t="shared" si="11"/>
        <v>Míra Šedivý</v>
      </c>
    </row>
    <row r="10" spans="1:33" x14ac:dyDescent="0.25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-3.0003978799799982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Pavel Pernekr</v>
      </c>
      <c r="K10" s="41">
        <f t="shared" si="3"/>
        <v>-1.000297849989997</v>
      </c>
      <c r="L10" s="141">
        <f>INDEX(Tabulka!$A$4:$AF$84,MATCH(J10,Tabulka!$A$4:$A$84,0)-1,31)+INDEX($D$2:$E$14,MATCH(K10,$C$2:$C$14,0),2)</f>
        <v>3.0000021500699998</v>
      </c>
      <c r="M10" s="141">
        <f>INDEX(Tabulka!$A$4:$AF$80,MATCH(List4!$J10,Tabulka!$A$4:$A$80,0)+3,31)+INDEX($D$2:$E$14,MATCH(K10,$C$2:$C$14,0),2)</f>
        <v>36.00000215</v>
      </c>
      <c r="N10" s="141">
        <f>INDEX(Tabulka!$B$4:$AF$84,MATCH(J10,Tabulka!$A$4:$A$84,0),30)+INDEX($D$2:$E$14,MATCH(K10,$C$2:$C$14,0),2)</f>
        <v>4.0000021500600003</v>
      </c>
      <c r="O10" s="141">
        <f>INDEX(Tabulka!$B$4:$AF$84,MATCH(J10,Tabulka!$A$4:$A$84,0)+2,30)+INDEX($D$2:$E$14,MATCH(K10,$C$2:$C$14,0),2)</f>
        <v>6.0000021500400003</v>
      </c>
      <c r="P10" s="141">
        <f>INDEX(Tabulka!$B$4:$AF$84,MATCH(J10,Tabulka!$A$4:$A$84,0)+1,30)+INDEX($D$2:$E$14,MATCH(K10,$C$2:$C$14,0),2)</f>
        <v>5.0000021500600003</v>
      </c>
      <c r="Q10" s="6">
        <f t="shared" si="4"/>
        <v>-134441.10308361959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-136272.10032162015</v>
      </c>
      <c r="U10" s="50">
        <f t="shared" si="7"/>
        <v>-0.999797829990001</v>
      </c>
      <c r="V10" s="50">
        <f t="shared" si="8"/>
        <v>0.999797829990001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99.470590355294121</v>
      </c>
      <c r="X10" s="43">
        <v>9</v>
      </c>
      <c r="Y10" s="51">
        <f t="shared" si="9"/>
        <v>73.959185773469386</v>
      </c>
      <c r="Z10" s="51"/>
      <c r="AA10" s="51">
        <f t="shared" si="10"/>
        <v>73.959185773469386</v>
      </c>
      <c r="AB10" s="43" t="str">
        <f t="shared" si="11"/>
        <v>Jiří Blín</v>
      </c>
    </row>
    <row r="11" spans="1:33" x14ac:dyDescent="0.25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-10.000497889929994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Míra Šedivý</v>
      </c>
      <c r="K11" s="41">
        <f t="shared" si="3"/>
        <v>-3.0003978799799982</v>
      </c>
      <c r="L11" s="141">
        <f>INDEX(Tabulka!$A$4:$AF$84,MATCH(J11,Tabulka!$A$4:$A$84,0)-1,31)+INDEX($D$2:$E$14,MATCH(K11,$C$2:$C$14,0),2)</f>
        <v>1.00000212003</v>
      </c>
      <c r="M11" s="141">
        <f>INDEX(Tabulka!$A$4:$AF$80,MATCH(List4!$J11,Tabulka!$A$4:$A$80,0)+3,31)+INDEX($D$2:$E$14,MATCH(K11,$C$2:$C$14,0),2)</f>
        <v>17.000002120000001</v>
      </c>
      <c r="N11" s="141">
        <f>INDEX(Tabulka!$B$4:$AF$84,MATCH(J11,Tabulka!$A$4:$A$84,0),30)+INDEX($D$2:$E$14,MATCH(K11,$C$2:$C$14,0),2)</f>
        <v>4.0000021200100004</v>
      </c>
      <c r="O11" s="141">
        <f>INDEX(Tabulka!$B$4:$AF$84,MATCH(J11,Tabulka!$A$4:$A$84,0)+2,30)+INDEX($D$2:$E$14,MATCH(K11,$C$2:$C$14,0),2)</f>
        <v>5.0000021200100004</v>
      </c>
      <c r="P11" s="141">
        <f>INDEX(Tabulka!$B$4:$AF$84,MATCH(J11,Tabulka!$A$4:$A$84,0)+1,30)+INDEX($D$2:$E$14,MATCH(K11,$C$2:$C$14,0),2)</f>
        <v>5.0000021200100004</v>
      </c>
      <c r="Q11" s="6">
        <f t="shared" si="4"/>
        <v>-412354.90722523979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Míra Šedivý</v>
      </c>
      <c r="T11" s="49">
        <f t="shared" si="6"/>
        <v>-412354.90722523979</v>
      </c>
      <c r="U11" s="50">
        <f t="shared" si="7"/>
        <v>-3.0003978799799982</v>
      </c>
      <c r="V11" s="50">
        <f t="shared" si="8"/>
        <v>3.0003978799799982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72.882355051176461</v>
      </c>
      <c r="X11" s="43">
        <v>10</v>
      </c>
      <c r="Y11" s="51">
        <f t="shared" si="9"/>
        <v>76.604168806666678</v>
      </c>
      <c r="Z11" s="51"/>
      <c r="AA11" s="51">
        <f t="shared" si="10"/>
        <v>76.604168806666678</v>
      </c>
      <c r="AB11" s="43" t="str">
        <f t="shared" si="11"/>
        <v>Standa Roth</v>
      </c>
    </row>
    <row r="12" spans="1:33" x14ac:dyDescent="0.25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Jiří Blín</v>
      </c>
      <c r="K12" s="41">
        <f t="shared" si="3"/>
        <v>-4.0002977999699949</v>
      </c>
      <c r="L12" s="141">
        <f>INDEX(Tabulka!$A$4:$AF$84,MATCH(J12,Tabulka!$A$4:$A$84,0)-1,31)+INDEX($D$2:$E$14,MATCH(K12,$C$2:$C$14,0),2)</f>
        <v>6.0000022001</v>
      </c>
      <c r="M12" s="141">
        <f>INDEX(Tabulka!$A$4:$AF$80,MATCH(List4!$J12,Tabulka!$A$4:$A$80,0)+3,31)+INDEX($D$2:$E$14,MATCH(K12,$C$2:$C$14,0),2)</f>
        <v>49.000002199999997</v>
      </c>
      <c r="N12" s="141">
        <f>INDEX(Tabulka!$B$4:$AF$84,MATCH(J12,Tabulka!$A$4:$A$84,0),30)+INDEX($D$2:$E$14,MATCH(K12,$C$2:$C$14,0),2)</f>
        <v>10.000002200069998</v>
      </c>
      <c r="O12" s="141">
        <f>INDEX(Tabulka!$B$4:$AF$84,MATCH(J12,Tabulka!$A$4:$A$84,0)+2,30)+INDEX($D$2:$E$14,MATCH(K12,$C$2:$C$14,0),2)</f>
        <v>9.0000022000799991</v>
      </c>
      <c r="P12" s="141">
        <f>INDEX(Tabulka!$B$4:$AF$84,MATCH(J12,Tabulka!$A$4:$A$84,0)+1,30)+INDEX($D$2:$E$14,MATCH(K12,$C$2:$C$14,0),2)</f>
        <v>15.000002200069998</v>
      </c>
      <c r="Q12" s="47">
        <f t="shared" si="4"/>
        <v>-547141.09617585922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Jiří Blín</v>
      </c>
      <c r="T12" s="49">
        <f t="shared" si="6"/>
        <v>-547141.09617585922</v>
      </c>
      <c r="U12" s="50">
        <f t="shared" si="7"/>
        <v>-4.0002977999699949</v>
      </c>
      <c r="V12" s="50">
        <f t="shared" si="8"/>
        <v>4.0002977999699949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73.959185773469386</v>
      </c>
      <c r="X12" s="43">
        <v>11</v>
      </c>
      <c r="Y12" s="51">
        <f t="shared" si="9"/>
        <v>94.064518219032252</v>
      </c>
      <c r="Z12" s="51"/>
      <c r="AA12" s="51">
        <f t="shared" si="10"/>
        <v>94.064518219032252</v>
      </c>
      <c r="AB12" s="43" t="str">
        <f t="shared" si="11"/>
        <v>Adam Šmíd</v>
      </c>
    </row>
    <row r="13" spans="1:33" x14ac:dyDescent="0.25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13.000302089939996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Adam Šmíd</v>
      </c>
      <c r="K13" s="41">
        <f t="shared" si="3"/>
        <v>-10.000497889929994</v>
      </c>
      <c r="L13" s="141">
        <f>INDEX(Tabulka!$A$4:$AF$84,MATCH(J13,Tabulka!$A$4:$A$84,0)-1,31)+INDEX($D$2:$E$14,MATCH(K13,$C$2:$C$14,0),2)</f>
        <v>2.110110000000001E-6</v>
      </c>
      <c r="M13" s="141">
        <f>INDEX(Tabulka!$A$4:$AF$80,MATCH(List4!$J13,Tabulka!$A$4:$A$80,0)+3,31)+INDEX($D$2:$E$14,MATCH(K13,$C$2:$C$14,0),2)</f>
        <v>31.00000211</v>
      </c>
      <c r="N13" s="141">
        <f>INDEX(Tabulka!$B$4:$AF$84,MATCH(J13,Tabulka!$A$4:$A$84,0),30)+INDEX($D$2:$E$14,MATCH(K13,$C$2:$C$14,0),2)</f>
        <v>10.000002110039999</v>
      </c>
      <c r="O13" s="141">
        <f>INDEX(Tabulka!$B$4:$AF$84,MATCH(J13,Tabulka!$A$4:$A$84,0)+2,30)+INDEX($D$2:$E$14,MATCH(K13,$C$2:$C$14,0),2)</f>
        <v>5.0000021100599996</v>
      </c>
      <c r="P13" s="141">
        <f>INDEX(Tabulka!$B$4:$AF$84,MATCH(J13,Tabulka!$A$4:$A$84,0)+1,30)+INDEX($D$2:$E$14,MATCH(K13,$C$2:$C$14,0),2)</f>
        <v>15.000002110039999</v>
      </c>
      <c r="Q13" s="6">
        <f t="shared" si="4"/>
        <v>-1376968.7085993392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Adam Šmíd</v>
      </c>
      <c r="T13" s="49">
        <f t="shared" si="6"/>
        <v>-1376968.7085993392</v>
      </c>
      <c r="U13" s="50">
        <f t="shared" si="7"/>
        <v>-10.000497889929994</v>
      </c>
      <c r="V13" s="50">
        <f t="shared" si="8"/>
        <v>10.000497889929994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94.064518219032252</v>
      </c>
      <c r="X13" s="43">
        <v>12</v>
      </c>
      <c r="Y13" s="51">
        <f t="shared" si="9"/>
        <v>99.470590355294121</v>
      </c>
      <c r="Z13" s="51"/>
      <c r="AA13" s="51">
        <f t="shared" si="10"/>
        <v>99.470590355294121</v>
      </c>
      <c r="AB13" s="43" t="str">
        <f t="shared" si="11"/>
        <v>Míra Chalupník</v>
      </c>
    </row>
    <row r="14" spans="1:33" x14ac:dyDescent="0.25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12.000102079919998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 x14ac:dyDescent="0.25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Stanislav Roth</cp:lastModifiedBy>
  <cp:lastPrinted>2020-06-17T05:23:12Z</cp:lastPrinted>
  <dcterms:created xsi:type="dcterms:W3CDTF">2013-04-08T05:52:17Z</dcterms:created>
  <dcterms:modified xsi:type="dcterms:W3CDTF">2022-06-03T03:46:46Z</dcterms:modified>
  <cp:category>Volnočasové aktivity</cp:category>
  <cp:contentStatus>Probíhající</cp:contentStatus>
</cp:coreProperties>
</file>