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A9034C95-83CC-4833-85A7-405C5992B8EF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3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N5" i="5" l="1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O14" i="5" l="1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<sst xmlns="http://schemas.openxmlformats.org/spreadsheetml/2006/main" count="415" uniqueCount="72">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</sst>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A3" activePane="bottomRight" state="frozen"/>
      <selection activeCell="B1" sqref="B1"/>
      <selection pane="topRight" activeCell="D1" sqref="D1"/>
      <selection pane="bottomLeft" activeCell="B3" sqref="B3"/>
      <selection pane="bottomRight" activeCell="AX1" sqref="AX1:BB1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>
        <v>43879</v>
      </c>
      <c r="AJ1" s="144"/>
      <c r="AK1" s="144"/>
      <c r="AL1" s="144"/>
      <c r="AM1" s="145"/>
      <c r="AN1" s="143">
        <v>43886</v>
      </c>
      <c r="AO1" s="144"/>
      <c r="AP1" s="144"/>
      <c r="AQ1" s="144"/>
      <c r="AR1" s="145"/>
      <c r="AS1" s="143">
        <v>43893</v>
      </c>
      <c r="AT1" s="144"/>
      <c r="AU1" s="144"/>
      <c r="AV1" s="144"/>
      <c r="AW1" s="145"/>
      <c r="AX1" s="143"/>
      <c r="AY1" s="144"/>
      <c r="AZ1" s="144"/>
      <c r="BA1" s="144"/>
      <c r="BB1" s="145"/>
      <c r="BC1" s="143"/>
      <c r="BD1" s="144"/>
      <c r="BE1" s="144"/>
      <c r="BF1" s="144"/>
      <c r="BG1" s="145"/>
      <c r="BH1" s="143"/>
      <c r="BI1" s="144"/>
      <c r="BJ1" s="144"/>
      <c r="BK1" s="144"/>
      <c r="BL1" s="145"/>
      <c r="BM1" s="151"/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/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4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/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1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/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/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/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33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/>
      <c r="AY16" s="26"/>
      <c r="AZ16" s="26"/>
      <c r="BA16" s="26"/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2289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 t="str">
        <f>IF(AX16&lt;&gt;"",AVERAGE($E$16:AX16),"")</f>
        <v/>
      </c>
      <c r="AY17" s="111" t="str">
        <f>IF(AY16&lt;&gt;"",AVERAGE($E$16:AY16),"")</f>
        <v/>
      </c>
      <c r="AZ17" s="111" t="str">
        <f>IF(AZ16&lt;&gt;"",AVERAGE($E$16:AZ16),"")</f>
        <v/>
      </c>
      <c r="BA17" s="111" t="str">
        <f>IF(BA16&lt;&gt;"",AVERAGE($E$16:BA16),"")</f>
        <v/>
      </c>
      <c r="BB17" s="112" t="str">
        <f>IF(BB16&lt;&gt;"",AVERAGE($E$16:BB16),"")</f>
        <v/>
      </c>
      <c r="BC17" s="111" t="str">
        <f>IF(BC16&lt;&gt;"",AVERAGE($E$16:BC16),"")</f>
        <v/>
      </c>
      <c r="BD17" s="111" t="str">
        <f>IF(BD16&lt;&gt;"",AVERAGE($E$16:BD16),"")</f>
        <v/>
      </c>
      <c r="BE17" s="111" t="str">
        <f>IF(BE16&lt;&gt;"",AVERAGE($E$16:BE16),"")</f>
        <v/>
      </c>
      <c r="BF17" s="111" t="str">
        <f>IF(BF16&lt;&gt;"",AVERAGE($E$16:BF16),"")</f>
        <v/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69.36363636363636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/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11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/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10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/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/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8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/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30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/>
      <c r="AY24" s="3"/>
      <c r="AZ24" s="3"/>
      <c r="BA24" s="1"/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947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 t="str">
        <f>IF(AX24&lt;&gt;"",AVERAGE($E24:AX24),"")</f>
        <v/>
      </c>
      <c r="AY25" s="84" t="str">
        <f>IF(AY24&lt;&gt;"",AVERAGE($E24:AY24),"")</f>
        <v/>
      </c>
      <c r="AZ25" s="84" t="str">
        <f>IF(AZ24&lt;&gt;"",AVERAGE($E24:AZ24),"")</f>
        <v/>
      </c>
      <c r="BA25" s="84" t="str">
        <f>IF(BA24&lt;&gt;"",AVERAGE($E24:BA24),"")</f>
        <v/>
      </c>
      <c r="BB25" s="129" t="str">
        <f>IF(BB24&lt;&gt;"",AVERAGE($E24:BB24),"")</f>
        <v/>
      </c>
      <c r="BC25" s="84" t="str">
        <f>IF(BC24&lt;&gt;"",AVERAGE($E24:BC24),"")</f>
        <v/>
      </c>
      <c r="BD25" s="84" t="str">
        <f>IF(BD24&lt;&gt;"",AVERAGE($E24:BD24),"")</f>
        <v/>
      </c>
      <c r="BE25" s="84" t="str">
        <f>IF(BE24&lt;&gt;"",AVERAGE($E24:BE24),"")</f>
        <v/>
      </c>
      <c r="BF25" s="84" t="str">
        <f>IF(BF24&lt;&gt;"",AVERAGE($E24:BF24),"")</f>
        <v/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31.566666666666666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0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4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26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1451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 t="str">
        <f>IF(BC32&lt;&gt;"",AVERAGE($E32:BC32),"")</f>
        <v/>
      </c>
      <c r="BD33" s="111" t="str">
        <f>IF(BD32&lt;&gt;"",AVERAGE($E32:BD32),"")</f>
        <v/>
      </c>
      <c r="BE33" s="111" t="str">
        <f>IF(BE32&lt;&gt;"",AVERAGE($E32:BE32),"")</f>
        <v/>
      </c>
      <c r="BF33" s="111" t="str">
        <f>IF(BF32&lt;&gt;"",AVERAGE($E32:BF32),"")</f>
        <v/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55.807692307692307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/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13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/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2</v>
      </c>
      <c r="EF36" s="116">
        <f>SUM(EE35-EE36)</f>
        <v>11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/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2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/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7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/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33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/>
      <c r="AY40" s="3"/>
      <c r="AZ40" s="3"/>
      <c r="BA40" s="1"/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1624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 t="str">
        <f>IF(AX40&lt;&gt;"",AVERAGE($E40:AX40),"")</f>
        <v/>
      </c>
      <c r="AY41" s="84" t="str">
        <f>IF(AY40&lt;&gt;"",AVERAGE($E40:AY40),"")</f>
        <v/>
      </c>
      <c r="AZ41" s="84" t="str">
        <f>IF(AZ40&lt;&gt;"",AVERAGE($E40:AZ40),"")</f>
        <v/>
      </c>
      <c r="BA41" s="84" t="str">
        <f>IF(BA40&lt;&gt;"",AVERAGE($E40:BA40),"")</f>
        <v/>
      </c>
      <c r="BB41" s="129" t="str">
        <f>IF(BB40&lt;&gt;"",AVERAGE($E40:BB40),"")</f>
        <v/>
      </c>
      <c r="BC41" s="84" t="str">
        <f>IF(BC40&lt;&gt;"",AVERAGE($E40:BC40),"")</f>
        <v/>
      </c>
      <c r="BD41" s="84" t="str">
        <f>IF(BD40&lt;&gt;"",AVERAGE($E40:BD40),"")</f>
        <v/>
      </c>
      <c r="BE41" s="84" t="str">
        <f>IF(BE40&lt;&gt;"",AVERAGE($E40:BE40),"")</f>
        <v/>
      </c>
      <c r="BF41" s="84" t="str">
        <f>IF(BF40&lt;&gt;"",AVERAGE($E40:BF40),"")</f>
        <v/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49.212121212121211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/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/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7</v>
      </c>
      <c r="EF52" s="116">
        <f>SUM(EE51-EE52)</f>
        <v>-6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/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11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/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5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/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29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/>
      <c r="AY56" s="3"/>
      <c r="AZ56" s="3"/>
      <c r="BA56" s="1"/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2270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 t="str">
        <f>IF(AX56&lt;&gt;"",AVERAGE($E56:AX56),"")</f>
        <v/>
      </c>
      <c r="AY57" s="84" t="str">
        <f>IF(AY56&lt;&gt;"",AVERAGE($E56:AY56),"")</f>
        <v/>
      </c>
      <c r="AZ57" s="84" t="str">
        <f>IF(AZ56&lt;&gt;"",AVERAGE($E56:AZ56),"")</f>
        <v/>
      </c>
      <c r="BA57" s="84" t="str">
        <f>IF(BA56&lt;&gt;"",AVERAGE($E56:BA56),"")</f>
        <v/>
      </c>
      <c r="BB57" s="129" t="str">
        <f>IF(BB56&lt;&gt;"",AVERAGE($E56:BB56),"")</f>
        <v/>
      </c>
      <c r="BC57" s="84" t="str">
        <f>IF(BC56&lt;&gt;"",AVERAGE($E56:BC56),"")</f>
        <v/>
      </c>
      <c r="BD57" s="84" t="str">
        <f>IF(BD56&lt;&gt;"",AVERAGE($E56:BD56),"")</f>
        <v/>
      </c>
      <c r="BE57" s="84" t="str">
        <f>IF(BE56&lt;&gt;"",AVERAGE($E56:BE56),"")</f>
        <v/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78.275862068965523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/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/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7</v>
      </c>
      <c r="EF60" s="116">
        <f>SUM(EE59-EE60)</f>
        <v>-7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/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10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/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4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/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22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/>
      <c r="AY64" s="26"/>
      <c r="AZ64" s="26"/>
      <c r="BA64" s="26"/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2135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 t="str">
        <f>IF(AX64&lt;&gt;"",AVERAGE($E64:AX64),"")</f>
        <v/>
      </c>
      <c r="AY65" s="111" t="str">
        <f>IF(AY64&lt;&gt;"",AVERAGE($E64:AY64),"")</f>
        <v/>
      </c>
      <c r="AZ65" s="111" t="str">
        <f>IF(AZ64&lt;&gt;"",AVERAGE($E64:AZ64),"")</f>
        <v/>
      </c>
      <c r="BA65" s="111" t="str">
        <f>IF(BA64&lt;&gt;"",AVERAGE($E64:BA64),"")</f>
        <v/>
      </c>
      <c r="BB65" s="112" t="str">
        <f>IF(BB64&lt;&gt;"",AVERAGE($E64:BB64),"")</f>
        <v/>
      </c>
      <c r="BC65" s="111" t="str">
        <f>IF(BC64&lt;&gt;"",AVERAGE($E64:BC64),"")</f>
        <v/>
      </c>
      <c r="BD65" s="111" t="str">
        <f>IF(BD64&lt;&gt;"",AVERAGE($E64:BD64),"")</f>
        <v/>
      </c>
      <c r="BE65" s="111" t="str">
        <f>IF(BE64&lt;&gt;"",AVERAGE($E64:BE64),"")</f>
        <v/>
      </c>
      <c r="BF65" s="111" t="str">
        <f>IF(BF64&lt;&gt;"",AVERAGE($E64:BF64),"")</f>
        <v/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97.045454545454547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-3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11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1318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119.81818181818181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/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6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/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6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/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/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5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/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23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/>
      <c r="AY80" s="26"/>
      <c r="AZ80" s="26"/>
      <c r="BA80" s="26"/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1021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 t="str">
        <f>IF(AX80&lt;&gt;"",AVERAGE($E80:AX80),"")</f>
        <v/>
      </c>
      <c r="AY81" s="111" t="str">
        <f>IF(AY80&lt;&gt;"",AVERAGE($E80:AY80),"")</f>
        <v/>
      </c>
      <c r="AZ81" s="111" t="str">
        <f>IF(AZ80&lt;&gt;"",AVERAGE($E80:AZ80),"")</f>
        <v/>
      </c>
      <c r="BA81" s="111" t="str">
        <f>IF(BA80&lt;&gt;"",AVERAGE($E80:BA80),"")</f>
        <v/>
      </c>
      <c r="BB81" s="112" t="str">
        <f>IF(BB80&lt;&gt;"",AVERAGE($E80:BB80),"")</f>
        <v/>
      </c>
      <c r="BC81" s="111" t="str">
        <f>IF(BC80&lt;&gt;"",AVERAGE($E80:BC80),"")</f>
        <v/>
      </c>
      <c r="BD81" s="111" t="str">
        <f>IF(BD80&lt;&gt;"",AVERAGE($E80:BD80),"")</f>
        <v/>
      </c>
      <c r="BE81" s="111" t="str">
        <f>IF(BE80&lt;&gt;"",AVERAGE($E80:BE80),"")</f>
        <v/>
      </c>
      <c r="BF81" s="111" t="str">
        <f>IF(BF80&lt;&gt;"",AVERAGE($E80:BF80),"")</f>
        <v/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44.391304347826086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/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4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/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1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/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/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4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/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14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/>
      <c r="AY88" s="3"/>
      <c r="AZ88" s="3"/>
      <c r="BA88" s="1"/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674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 t="str">
        <f>IF(AX88&lt;&gt;"",AVERAGE($E88:AX88),"")</f>
        <v/>
      </c>
      <c r="AY89" s="84" t="str">
        <f>IF(AY88&lt;&gt;"",AVERAGE($E88:AY88),"")</f>
        <v/>
      </c>
      <c r="AZ89" s="84" t="str">
        <f>IF(AZ88&lt;&gt;"",AVERAGE($E88:AZ88),"")</f>
        <v/>
      </c>
      <c r="BA89" s="84" t="str">
        <f>IF(BA88&lt;&gt;"",AVERAGE($E88:BA88),"")</f>
        <v/>
      </c>
      <c r="BB89" s="129" t="str">
        <f>IF(BB88&lt;&gt;"",AVERAGE($E88:BB88),"")</f>
        <v/>
      </c>
      <c r="BC89" s="84" t="str">
        <f>IF(BC88&lt;&gt;"",AVERAGE($E88:BC88),"")</f>
        <v/>
      </c>
      <c r="BD89" s="84" t="str">
        <f>IF(BD88&lt;&gt;"",AVERAGE($E88:BD88),"")</f>
        <v/>
      </c>
      <c r="BE89" s="84" t="str">
        <f>IF(BE88&lt;&gt;"",AVERAGE($E88:BE88),"")</f>
        <v/>
      </c>
      <c r="BF89" s="84" t="str">
        <f>IF(BF88&lt;&gt;"",AVERAGE($E88:BF88),"")</f>
        <v/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48.142857142857146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/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6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/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5</v>
      </c>
      <c r="EF92" s="116">
        <f>SUM(EE91-EE92)</f>
        <v>1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/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6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/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/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28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/>
      <c r="AY96" s="26"/>
      <c r="AZ96" s="26"/>
      <c r="BA96" s="26"/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2251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 t="str">
        <f>IF(AX96&lt;&gt;"",AVERAGE($E96:AX96),"")</f>
        <v/>
      </c>
      <c r="AY97" s="111" t="str">
        <f>IF(AY96&lt;&gt;"",AVERAGE($E96:AY96),"")</f>
        <v/>
      </c>
      <c r="AZ97" s="111" t="str">
        <f>IF(AZ96&lt;&gt;"",AVERAGE($E96:AZ96),"")</f>
        <v/>
      </c>
      <c r="BA97" s="111" t="str">
        <f>IF(BA96&lt;&gt;"",AVERAGE($E96:BA96),"")</f>
        <v/>
      </c>
      <c r="BB97" s="112" t="str">
        <f>IF(BB96&lt;&gt;"",AVERAGE($E96:BB96),"")</f>
        <v/>
      </c>
      <c r="BC97" s="111" t="str">
        <f>IF(BC96&lt;&gt;"",AVERAGE($E96:BC96),"")</f>
        <v/>
      </c>
      <c r="BD97" s="111" t="str">
        <f>IF(BD96&lt;&gt;"",AVERAGE($E96:BD96),"")</f>
        <v/>
      </c>
      <c r="BE97" s="111" t="str">
        <f>IF(BE96&lt;&gt;"",AVERAGE($E96:BE96),"")</f>
        <v/>
      </c>
      <c r="BF97" s="111" t="str">
        <f>IF(BF96&lt;&gt;"",AVERAGE($E96:BF96),"")</f>
        <v/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80.392857142857139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31" activePane="bottomRight" state="frozen"/>
      <selection activeCell="N16" sqref="N16"/>
      <selection pane="topRight" activeCell="N16" sqref="N16"/>
      <selection pane="bottomLeft" activeCell="N16" sqref="N16"/>
      <selection pane="bottomRight" activeCell="D58" sqref="D58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 t="str">
        <f>IFERROR(IF(INDEX(Přehled_body!$E$1:$ED$1,1,MATCH(Tabulka!L2,Přehled_body!$D$1:$ED$1,0)+4)="","",INDEX(Přehled_body!$E$1:$ED$1,1,MATCH(Tabulka!L2,Přehled_body!$D$1:$ED$1,0)+4)),"")</f>
        <v/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 t="str">
        <f t="shared" si="0"/>
        <v/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0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4.00000000004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0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3.00000000005</v>
      </c>
      <c r="AF10" s="140">
        <f>IF(AE13&gt;0.9,SUM(AE9-AE10)+0.00000001,0)</f>
        <v>1.0000000099899999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0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3.00000000005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0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1.00000000007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0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33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0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11.000000000010001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0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1.00000000007</v>
      </c>
      <c r="AF15" s="140">
        <f>IF(AE18&gt;0.9,SUM(AE14-AE15)+0.00000001,0)</f>
        <v>10.000000009940003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0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1.00000000007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0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8.0000000000299991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0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30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3.00000000004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3.00000000004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4.00000000004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4.00000000003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26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0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13.000000000010001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0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2.00000000006</v>
      </c>
      <c r="AF25" s="140">
        <f>IF(AE28&gt;0.9,SUM(AE24-AE25)+0.00000001,0)</f>
        <v>11.000000009950002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0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2.00000000006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0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7.00000000004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0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33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0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1.00000000007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0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7.00000000004</v>
      </c>
      <c r="AF35" s="140">
        <f>IF(AE38&gt;0.9,SUM(AE34-AE35)+0.00000001,0)</f>
        <v>-5.9999999899700001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0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11.00000000004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0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5.00000000005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0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29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0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7.0000000000000004E-11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0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7.00000000003</v>
      </c>
      <c r="AF40" s="140">
        <f>IF(AE43&gt;0.9,SUM(AE39-AE40)+0.00000001,0)</f>
        <v>-6.9999999899600001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0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10.000000000029999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0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4.00000000003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0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22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3E-11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3.00000000001</v>
      </c>
      <c r="AF45" s="140">
        <f>IF(AE48&gt;0.9,SUM(AE44-AE45)+0.00000001,0)</f>
        <v>-2.9999999899800001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3.00000000001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3E-11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11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0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6.00000000003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0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6E-11</v>
      </c>
      <c r="AF50" s="140">
        <f>IF(AE53&gt;0.9,SUM(AE49-AE50)+0.00000001,0)</f>
        <v>6.0000000099699999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0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6E-11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0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5.00000000001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0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23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0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4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0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3.00000000001</v>
      </c>
      <c r="AF55" s="140">
        <f>IF(AE58&gt;0.9,SUM(AE54-AE55)+0.00000001,0)</f>
        <v>1.0000000099899999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0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5.00000000001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0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4.00000000001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0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14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0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6.00000000003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0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5.00000000003</v>
      </c>
      <c r="AF60" s="140">
        <f>IF(AE63&gt;0.9,SUM(AE59-AE60)+0.00000001,0)</f>
        <v>1.0000000099999999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0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6.00000000003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0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4.00000000004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0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28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3. 3.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Milan Veselý</v>
      </c>
      <c r="C3" s="20">
        <f>IF(List4!K2&lt;-88888,-90000,INDEX(Tabulka!$B$4:$AF$84,MATCH(B3,Tabulka!$A$4:$A$84,0),31))</f>
        <v>11.000000009950002</v>
      </c>
      <c r="D3" s="18">
        <f>INDEX(Tabulka!$A$4:$AF$84,MATCH(B3,Tabulka!$A$4:$A$84,0)-1,31)</f>
        <v>13.000000000010001</v>
      </c>
      <c r="E3" s="18">
        <f>INDEX(Tabulka!$B$4:$AF$84,MATCH(B3,Tabulka!$A$4:$A$84,0)+3,30)</f>
        <v>33</v>
      </c>
      <c r="F3" s="18">
        <f>INDEX(Tabulka!$B$4:$AF$84,MATCH(B3,Tabulka!$A$4:$A$84,0),30)</f>
        <v>2.00000000006</v>
      </c>
      <c r="G3" s="18">
        <f>INDEX(Tabulka!$B$4:$AF$84,MATCH(B3,Tabulka!$A$4:$A$84,0)+2,30)</f>
        <v>7.00000000004</v>
      </c>
      <c r="H3" s="19">
        <f>INDEX(Tabulka!$B$4:$AF$84,MATCH(B3,Tabulka!$A$4:$A$84,0)+1,30)</f>
        <v>2.00000000006</v>
      </c>
      <c r="L3" s="31" t="str">
        <f>IFERROR(List4!AB2,"")</f>
        <v>Petr Weiner</v>
      </c>
      <c r="M3" s="52">
        <f>IFERROR(List4!AA2,"")</f>
        <v>31.566668856666666</v>
      </c>
      <c r="Q3" s="8" t="s">
        <v>23</v>
      </c>
    </row>
    <row r="4" spans="1:17" ht="17.399999999999999">
      <c r="A4" s="55">
        <v>2</v>
      </c>
      <c r="B4" s="10" t="str">
        <f>List4!S3</f>
        <v>Petr Weiner</v>
      </c>
      <c r="C4" s="21">
        <f>IF(List4!K3&lt;-88888,-90000,INDEX(Tabulka!$B$4:$AF$84,MATCH(B4,Tabulka!$A$4:$A$84,0),31))</f>
        <v>10.000000009940003</v>
      </c>
      <c r="D4" s="12">
        <f>INDEX(Tabulka!$A$4:$AF$84,MATCH(B4,Tabulka!$A$4:$A$84,0)-1,31)</f>
        <v>11.000000000010001</v>
      </c>
      <c r="E4" s="12">
        <f>INDEX(Tabulka!$B$4:$AF$84,MATCH(B4,Tabulka!$A$4:$A$84,0)+3,30)</f>
        <v>30</v>
      </c>
      <c r="F4" s="12">
        <f>INDEX(Tabulka!$B$4:$AF$84,MATCH(B4,Tabulka!$A$4:$A$84,0),30)</f>
        <v>1.00000000007</v>
      </c>
      <c r="G4" s="12">
        <f>INDEX(Tabulka!$B$4:$AF$84,MATCH(B4,Tabulka!$A$4:$A$84,0)+2,30)</f>
        <v>8.0000000000299991</v>
      </c>
      <c r="H4" s="13">
        <f>INDEX(Tabulka!$B$4:$AF$84,MATCH(B4,Tabulka!$A$4:$A$84,0)+1,30)</f>
        <v>1.00000000007</v>
      </c>
      <c r="J4" s="32"/>
      <c r="L4" s="31" t="str">
        <f>IFERROR(List4!AB3,"")</f>
        <v>Jarda Klein</v>
      </c>
      <c r="M4" s="52">
        <f>IFERROR(List4!AA3,"")</f>
        <v>44.391306527826089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6.0000000099699999</v>
      </c>
      <c r="D5" s="12">
        <f>INDEX(Tabulka!$A$4:$AF$84,MATCH(B5,Tabulka!$A$4:$A$84,0)-1,31)</f>
        <v>6.00000000003</v>
      </c>
      <c r="E5" s="12">
        <f>INDEX(Tabulka!$B$4:$AF$84,MATCH(B5,Tabulka!$A$4:$A$84,0)+3,30)</f>
        <v>23</v>
      </c>
      <c r="F5" s="12">
        <f>INDEX(Tabulka!$B$4:$AF$84,MATCH(B5,Tabulka!$A$4:$A$84,0),30)</f>
        <v>6E-11</v>
      </c>
      <c r="G5" s="12">
        <f>INDEX(Tabulka!$B$4:$AF$84,MATCH(B5,Tabulka!$A$4:$A$84,0)+2,30)</f>
        <v>5.00000000001</v>
      </c>
      <c r="H5" s="13">
        <f>INDEX(Tabulka!$B$4:$AF$84,MATCH(B5,Tabulka!$A$4:$A$84,0)+1,30)</f>
        <v>6E-11</v>
      </c>
      <c r="J5" s="32"/>
      <c r="L5" s="31" t="str">
        <f>IFERROR(List4!AB4,"")</f>
        <v>Kuba Šedivý</v>
      </c>
      <c r="M5" s="52">
        <f>IFERROR(List4!AA4,"")</f>
        <v>48.142859302857147</v>
      </c>
      <c r="Q5" s="8" t="s">
        <v>39</v>
      </c>
    </row>
    <row r="6" spans="1:17" ht="17.399999999999999">
      <c r="A6" s="55">
        <v>4</v>
      </c>
      <c r="B6" s="10" t="str">
        <f>List4!S5</f>
        <v>Standa Roth</v>
      </c>
      <c r="C6" s="21">
        <f>IF(List4!K5&lt;-88888,-90000,INDEX(Tabulka!$B$4:$AF$84,MATCH(B6,Tabulka!$A$4:$A$84,0),31))</f>
        <v>1.0000000099999999</v>
      </c>
      <c r="D6" s="12">
        <f>INDEX(Tabulka!$A$4:$AF$84,MATCH(B6,Tabulka!$A$4:$A$84,0)-1,31)</f>
        <v>6.00000000003</v>
      </c>
      <c r="E6" s="12">
        <f>INDEX(Tabulka!$B$4:$AF$84,MATCH(B6,Tabulka!$A$4:$A$84,0)+3,30)</f>
        <v>28</v>
      </c>
      <c r="F6" s="12">
        <f>INDEX(Tabulka!$B$4:$AF$84,MATCH(B6,Tabulka!$A$4:$A$84,0),30)</f>
        <v>5.00000000003</v>
      </c>
      <c r="G6" s="12">
        <f>INDEX(Tabulka!$B$4:$AF$84,MATCH(B6,Tabulka!$A$4:$A$84,0)+2,30)</f>
        <v>4.00000000004</v>
      </c>
      <c r="H6" s="13">
        <f>INDEX(Tabulka!$B$4:$AF$84,MATCH(B6,Tabulka!$A$4:$A$84,0)+1,30)</f>
        <v>6.00000000003</v>
      </c>
      <c r="J6" s="32"/>
      <c r="L6" s="31" t="str">
        <f>IFERROR(List4!AB5,"")</f>
        <v>Milan Veselý</v>
      </c>
      <c r="M6" s="52">
        <f>IFERROR(List4!AA5,"")</f>
        <v>49.212123412121208</v>
      </c>
      <c r="Q6" s="8" t="s">
        <v>25</v>
      </c>
    </row>
    <row r="7" spans="1:17" ht="17.399999999999999">
      <c r="A7" s="55">
        <v>5</v>
      </c>
      <c r="B7" s="10" t="str">
        <f>List4!S6</f>
        <v>Kuba Šedivý</v>
      </c>
      <c r="C7" s="21">
        <f>IF(List4!K6&lt;-88888,-90000,INDEX(Tabulka!$B$4:$AF$84,MATCH(B7,Tabulka!$A$4:$A$84,0),31))</f>
        <v>1.0000000099899999</v>
      </c>
      <c r="D7" s="12">
        <f>INDEX(Tabulka!$A$4:$AF$84,MATCH(B7,Tabulka!$A$4:$A$84,0)-1,31)</f>
        <v>4</v>
      </c>
      <c r="E7" s="12">
        <f>INDEX(Tabulka!$B$4:$AF$84,MATCH(B7,Tabulka!$A$4:$A$84,0)+3,30)</f>
        <v>14</v>
      </c>
      <c r="F7" s="12">
        <f>INDEX(Tabulka!$B$4:$AF$84,MATCH(B7,Tabulka!$A$4:$A$84,0),30)</f>
        <v>3.00000000001</v>
      </c>
      <c r="G7" s="12">
        <f>INDEX(Tabulka!$B$4:$AF$84,MATCH(B7,Tabulka!$A$4:$A$84,0)+2,30)</f>
        <v>4.00000000001</v>
      </c>
      <c r="H7" s="13">
        <f>INDEX(Tabulka!$B$4:$AF$84,MATCH(B7,Tabulka!$A$4:$A$84,0)+1,30)</f>
        <v>5.00000000001</v>
      </c>
      <c r="J7" s="32"/>
      <c r="L7" s="31" t="str">
        <f>IFERROR(List4!AB6,"")</f>
        <v>Pavel Pernekr</v>
      </c>
      <c r="M7" s="52">
        <f>IFERROR(List4!AA6,"")</f>
        <v>55.807694447692306</v>
      </c>
      <c r="Q7" s="8" t="s">
        <v>37</v>
      </c>
    </row>
    <row r="8" spans="1:17" ht="17.399999999999999">
      <c r="A8" s="55">
        <v>6</v>
      </c>
      <c r="B8" s="10" t="str">
        <f>List4!S7</f>
        <v>Libor Hruška</v>
      </c>
      <c r="C8" s="21">
        <f>IF(List4!K7&lt;-88888,-90000,INDEX(Tabulka!$B$4:$AF$84,MATCH(B8,Tabulka!$A$4:$A$84,0),31))</f>
        <v>1.0000000099899999</v>
      </c>
      <c r="D8" s="12">
        <f>INDEX(Tabulka!$A$4:$AF$84,MATCH(B8,Tabulka!$A$4:$A$84,0)-1,31)</f>
        <v>4.00000000004</v>
      </c>
      <c r="E8" s="12">
        <f>INDEX(Tabulka!$B$4:$AF$84,MATCH(B8,Tabulka!$A$4:$A$84,0)+3,30)</f>
        <v>33</v>
      </c>
      <c r="F8" s="12">
        <f>INDEX(Tabulka!$B$4:$AF$84,MATCH(B8,Tabulka!$A$4:$A$84,0),30)</f>
        <v>3.00000000005</v>
      </c>
      <c r="G8" s="12">
        <f>INDEX(Tabulka!$B$4:$AF$84,MATCH(B8,Tabulka!$A$4:$A$84,0)+2,30)</f>
        <v>1.00000000007</v>
      </c>
      <c r="H8" s="13">
        <f>INDEX(Tabulka!$B$4:$AF$84,MATCH(B8,Tabulka!$A$4:$A$84,0)+1,30)</f>
        <v>3.00000000005</v>
      </c>
      <c r="J8" s="32"/>
      <c r="L8" s="31" t="str">
        <f>IFERROR(List4!AB7,"")</f>
        <v>Míra Šedivý</v>
      </c>
      <c r="M8" s="52">
        <f>IFERROR(List4!AA7,"")</f>
        <v>63.538463668461539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1E-8</v>
      </c>
      <c r="D9" s="12">
        <f>INDEX(Tabulka!$A$4:$AF$84,MATCH(B9,Tabulka!$A$4:$A$84,0)-1,31)</f>
        <v>3.00000000004</v>
      </c>
      <c r="E9" s="12">
        <f>INDEX(Tabulka!$B$4:$AF$84,MATCH(B9,Tabulka!$A$4:$A$84,0)+3,30)</f>
        <v>26</v>
      </c>
      <c r="F9" s="12">
        <f>INDEX(Tabulka!$B$4:$AF$84,MATCH(B9,Tabulka!$A$4:$A$84,0),30)</f>
        <v>3.00000000004</v>
      </c>
      <c r="G9" s="12">
        <f>INDEX(Tabulka!$B$4:$AF$84,MATCH(B9,Tabulka!$A$4:$A$84,0)+2,30)</f>
        <v>4.00000000003</v>
      </c>
      <c r="H9" s="13">
        <f>INDEX(Tabulka!$B$4:$AF$84,MATCH(B9,Tabulka!$A$4:$A$84,0)+1,30)</f>
        <v>4.00000000004</v>
      </c>
      <c r="L9" s="31" t="str">
        <f>IFERROR(List4!AB8,"")</f>
        <v>Libor Hruška</v>
      </c>
      <c r="M9" s="52">
        <f>IFERROR(List4!AA8,"")</f>
        <v>69.36363851363636</v>
      </c>
      <c r="Q9" s="8" t="s">
        <v>49</v>
      </c>
    </row>
    <row r="10" spans="1:17" ht="17.399999999999999">
      <c r="A10" s="55">
        <v>8</v>
      </c>
      <c r="B10" s="10" t="str">
        <f>List4!S9</f>
        <v>Míra Šedivý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1.00000000002</v>
      </c>
      <c r="E10" s="12">
        <f>INDEX(Tabulka!$B$4:$AF$84,MATCH(B10,Tabulka!$A$4:$A$84,0)+3,30)</f>
        <v>13</v>
      </c>
      <c r="F10" s="12">
        <f>INDEX(Tabulka!$B$4:$AF$84,MATCH(B10,Tabulka!$A$4:$A$84,0),30)</f>
        <v>2.00000000001</v>
      </c>
      <c r="G10" s="12">
        <f>INDEX(Tabulka!$B$4:$AF$84,MATCH(B10,Tabulka!$A$4:$A$84,0)+2,30)</f>
        <v>4.00000000001</v>
      </c>
      <c r="H10" s="13">
        <f>INDEX(Tabulka!$B$4:$AF$84,MATCH(B10,Tabulka!$A$4:$A$84,0)+1,30)</f>
        <v>3.00000000001</v>
      </c>
      <c r="L10" s="31" t="str">
        <f>IFERROR(List4!AB9,"")</f>
        <v>Jiří Blín</v>
      </c>
      <c r="M10" s="52">
        <f>IFERROR(List4!AA9,"")</f>
        <v>78.27586417896552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-2.9999999899800001</v>
      </c>
      <c r="D11" s="12">
        <f>INDEX(Tabulka!$A$4:$AF$84,MATCH(B11,Tabulka!$A$4:$A$84,0)-1,31)</f>
        <v>3E-11</v>
      </c>
      <c r="E11" s="12">
        <f>INDEX(Tabulka!$B$4:$AF$84,MATCH(B11,Tabulka!$A$4:$A$84,0)+3,30)</f>
        <v>11</v>
      </c>
      <c r="F11" s="12">
        <f>INDEX(Tabulka!$B$4:$AF$84,MATCH(B11,Tabulka!$A$4:$A$84,0),30)</f>
        <v>3.00000000001</v>
      </c>
      <c r="G11" s="12">
        <f>INDEX(Tabulka!$B$4:$AF$84,MATCH(B11,Tabulka!$A$4:$A$84,0)+2,30)</f>
        <v>3E-11</v>
      </c>
      <c r="H11" s="13">
        <f>INDEX(Tabulka!$B$4:$AF$84,MATCH(B11,Tabulka!$A$4:$A$84,0)+1,30)</f>
        <v>3.00000000001</v>
      </c>
      <c r="L11" s="31" t="str">
        <f>IFERROR(List4!AB10,"")</f>
        <v>Standa Roth</v>
      </c>
      <c r="M11" s="52">
        <f>IFERROR(List4!AA10,"")</f>
        <v>80.392859312857141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-5.9999999899700001</v>
      </c>
      <c r="D12" s="12">
        <f>INDEX(Tabulka!$A$4:$AF$84,MATCH(B12,Tabulka!$A$4:$A$84,0)-1,31)</f>
        <v>1.00000000007</v>
      </c>
      <c r="E12" s="12">
        <f>INDEX(Tabulka!$B$4:$AF$84,MATCH(B12,Tabulka!$A$4:$A$84,0)+3,30)</f>
        <v>29</v>
      </c>
      <c r="F12" s="12">
        <f>INDEX(Tabulka!$B$4:$AF$84,MATCH(B12,Tabulka!$A$4:$A$84,0),30)</f>
        <v>7.00000000004</v>
      </c>
      <c r="G12" s="12">
        <f>INDEX(Tabulka!$B$4:$AF$84,MATCH(B12,Tabulka!$A$4:$A$84,0)+2,30)</f>
        <v>5.00000000005</v>
      </c>
      <c r="H12" s="13">
        <f>INDEX(Tabulka!$B$4:$AF$84,MATCH(B12,Tabulka!$A$4:$A$84,0)+1,30)</f>
        <v>11.00000000004</v>
      </c>
      <c r="L12" s="31" t="str">
        <f>IFERROR(List4!AB11,"")</f>
        <v>Adam Šmíd</v>
      </c>
      <c r="M12" s="52">
        <f>IFERROR(List4!AA11,"")</f>
        <v>97.04545664545455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-6.9999999899600001</v>
      </c>
      <c r="D13" s="12">
        <f>INDEX(Tabulka!$A$4:$AF$84,MATCH(B13,Tabulka!$A$4:$A$84,0)-1,31)</f>
        <v>7.0000000000000004E-11</v>
      </c>
      <c r="E13" s="12">
        <f>INDEX(Tabulka!$B$4:$AF$84,MATCH(B13,Tabulka!$A$4:$A$84,0)+3,30)</f>
        <v>22</v>
      </c>
      <c r="F13" s="12">
        <f>INDEX(Tabulka!$B$4:$AF$84,MATCH(B13,Tabulka!$A$4:$A$84,0),30)</f>
        <v>7.00000000003</v>
      </c>
      <c r="G13" s="12">
        <f>INDEX(Tabulka!$B$4:$AF$84,MATCH(B13,Tabulka!$A$4:$A$84,0)+2,30)</f>
        <v>4.00000000003</v>
      </c>
      <c r="H13" s="13">
        <f>INDEX(Tabulka!$B$4:$AF$84,MATCH(B13,Tabulka!$A$4:$A$84,0)+1,30)</f>
        <v>10.000000000029999</v>
      </c>
      <c r="L13" s="31" t="str">
        <f>IFERROR(List4!AB12,"")</f>
        <v>Míra Chalupník</v>
      </c>
      <c r="M13" s="52">
        <f>IFERROR(List4!AA12,"")</f>
        <v>119.81818393818182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-5.9999977899700001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Milan Veselý</v>
      </c>
      <c r="K2" s="41">
        <f t="shared" ref="K2:K14" si="3">LARGE($C$2:$C$14,ROW(I2)-1)</f>
        <v>11.000002099950002</v>
      </c>
      <c r="L2" s="141">
        <f>INDEX(Tabulka!$A$4:$AF$84,MATCH(J2,Tabulka!$A$4:$A$84,0)-1,31)+INDEX($D$2:$E$14,MATCH(K2,$C$2:$C$14,0),2)</f>
        <v>13.000002090010002</v>
      </c>
      <c r="M2" s="141">
        <f>INDEX(Tabulka!$A$4:$AF$80,MATCH(List4!$J2,Tabulka!$A$4:$A$80,0)+3,31)+INDEX($D$2:$E$14,MATCH(K2,$C$2:$C$14,0),2)</f>
        <v>33.000002090000002</v>
      </c>
      <c r="N2" s="141">
        <f>INDEX(Tabulka!$B$4:$AF$84,MATCH(J2,Tabulka!$A$4:$A$84,0),30)+INDEX($D$2:$E$14,MATCH(K2,$C$2:$C$14,0),2)</f>
        <v>2.0000020900600002</v>
      </c>
      <c r="O2" s="141">
        <f>INDEX(Tabulka!$B$4:$AF$84,MATCH(J2,Tabulka!$A$4:$A$84,0)+2,30)+INDEX($D$2:$E$14,MATCH(K2,$C$2:$C$14,0),2)</f>
        <v>7.0000020900399997</v>
      </c>
      <c r="P2" s="141">
        <f>INDEX(Tabulka!$B$4:$AF$84,MATCH(J2,Tabulka!$A$4:$A$84,0)+1,30)+INDEX($D$2:$E$14,MATCH(K2,$C$2:$C$14,0),2)</f>
        <v>2.0000020900600002</v>
      </c>
      <c r="Q2" s="6">
        <f t="shared" ref="Q2:Q14" si="4">IF(K2&lt;-888,K2*100000,K2*138000+IF(K2&lt;0,IF(AVERAGE($M$2:$M$14)-20&lt;M2,M2*100,M2*150),IF(AVERAGE($M$2:$M$14)-20&lt;M2,M2*-100,M2*-150)+P2*-100+O2*-20+L2*4000))</f>
        <v>1566360.2976933334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Milan Veselý</v>
      </c>
      <c r="T2" s="49">
        <f t="shared" ref="T2:T13" si="6">LARGE($Q$2:$Q$14,ROW(S2)-1)</f>
        <v>1566360.2976933334</v>
      </c>
      <c r="U2" s="50">
        <f t="shared" ref="U2:U14" si="7">INDEX($K$2:$K$14,MATCH($S2,$J$2:$J$14,0))</f>
        <v>11.000002099950002</v>
      </c>
      <c r="V2" s="50">
        <f t="shared" ref="V2:V14" si="8">INDEX($K$2:$K$14,MATCH($S2,$J$2:$J$14,0))*-1</f>
        <v>-11.000002099950002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49.212123412121208</v>
      </c>
      <c r="X2" s="43">
        <v>1</v>
      </c>
      <c r="Y2" s="51">
        <f t="shared" ref="Y2:Y14" si="9">IF(OR($AA$1="Výhry",$AA$1="Poč. kol")=TRUE,LARGE($W$2:$W$14,X2),SMALL($W$2:$W$14,X2))</f>
        <v>31.566668856666666</v>
      </c>
      <c r="Z2" s="51"/>
      <c r="AA2" s="51">
        <f t="shared" ref="AA2:AA14" si="10">IF(ROUND(ABS(W2),0)=ABS(90000),"Neklas",IF(OR($AA$1="Výhry",$AA$1="Poč. kol")=TRUE,LARGE($W$2:$W$14,X2),SMALL($W$2:$W$14,X2)))</f>
        <v>31.566668856666666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Petr Weiner</v>
      </c>
      <c r="K3" s="41">
        <f t="shared" si="3"/>
        <v>10.000002089940002</v>
      </c>
      <c r="L3" s="141">
        <f>INDEX(Tabulka!$A$4:$AF$84,MATCH(J3,Tabulka!$A$4:$A$84,0)-1,31)+INDEX($D$2:$E$14,MATCH(K3,$C$2:$C$14,0),2)</f>
        <v>11.000002080010001</v>
      </c>
      <c r="M3" s="141">
        <f>INDEX(Tabulka!$A$4:$AF$80,MATCH(List4!$J3,Tabulka!$A$4:$A$80,0)+3,31)+INDEX($D$2:$E$14,MATCH(K3,$C$2:$C$14,0),2)</f>
        <v>30.000002080000002</v>
      </c>
      <c r="N3" s="141">
        <f>INDEX(Tabulka!$B$4:$AF$84,MATCH(J3,Tabulka!$A$4:$A$84,0),30)+INDEX($D$2:$E$14,MATCH(K3,$C$2:$C$14,0),2)</f>
        <v>1.00000208007</v>
      </c>
      <c r="O3" s="141">
        <f>INDEX(Tabulka!$B$4:$AF$84,MATCH(J3,Tabulka!$A$4:$A$84,0)+2,30)+INDEX($D$2:$E$14,MATCH(K3,$C$2:$C$14,0),2)</f>
        <v>8.0000020800299989</v>
      </c>
      <c r="P3" s="141">
        <f>INDEX(Tabulka!$B$4:$AF$84,MATCH(J3,Tabulka!$A$4:$A$84,0)+1,30)+INDEX($D$2:$E$14,MATCH(K3,$C$2:$C$14,0),2)</f>
        <v>1.00000208007</v>
      </c>
      <c r="Q3" s="6">
        <f t="shared" si="4"/>
        <v>1420740.2962741528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Petr Weiner</v>
      </c>
      <c r="T3" s="49">
        <f t="shared" si="6"/>
        <v>1420740.2962741528</v>
      </c>
      <c r="U3" s="50">
        <f t="shared" si="7"/>
        <v>10.000002089940002</v>
      </c>
      <c r="V3" s="50">
        <f t="shared" si="8"/>
        <v>-10.000002089940002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31.566668856666666</v>
      </c>
      <c r="X3" s="43">
        <v>2</v>
      </c>
      <c r="Y3" s="51">
        <f t="shared" si="9"/>
        <v>44.391306527826089</v>
      </c>
      <c r="Z3" s="51"/>
      <c r="AA3" s="51">
        <f t="shared" si="10"/>
        <v>44.391306527826089</v>
      </c>
      <c r="AB3" s="43" t="str">
        <f t="shared" si="11"/>
        <v>Jarda Klein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1.00000218999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6.0000021699700001</v>
      </c>
      <c r="L4" s="141">
        <f>INDEX(Tabulka!$A$4:$AF$84,MATCH(J4,Tabulka!$A$4:$A$84,0)-1,31)+INDEX($D$2:$E$14,MATCH(K4,$C$2:$C$14,0),2)</f>
        <v>6.0000021600300002</v>
      </c>
      <c r="M4" s="141">
        <f>INDEX(Tabulka!$A$4:$AF$80,MATCH(List4!$J4,Tabulka!$A$4:$A$80,0)+3,31)+INDEX($D$2:$E$14,MATCH(K4,$C$2:$C$14,0),2)</f>
        <v>23.000002160000001</v>
      </c>
      <c r="N4" s="142">
        <f>INDEX(Tabulka!$B$4:$AF$84,MATCH(J4,Tabulka!$A$4:$A$84,0),30)+INDEX($D$2:$E$14,MATCH(K4,$C$2:$C$14,0),2)</f>
        <v>2.1600600000000005E-6</v>
      </c>
      <c r="O4" s="141">
        <f>INDEX(Tabulka!$B$4:$AF$84,MATCH(J4,Tabulka!$A$4:$A$84,0)+2,30)+INDEX($D$2:$E$14,MATCH(K4,$C$2:$C$14,0),2)</f>
        <v>5.0000021600100002</v>
      </c>
      <c r="P4" s="141">
        <f>INDEX(Tabulka!$B$4:$AF$84,MATCH(J4,Tabulka!$A$4:$A$84,0)+1,30)+INDEX($D$2:$E$14,MATCH(K4,$C$2:$C$14,0),2)</f>
        <v>2.1600600000000005E-6</v>
      </c>
      <c r="Q4" s="6">
        <f t="shared" si="4"/>
        <v>849600.30762077379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849600.30762077379</v>
      </c>
      <c r="U4" s="50">
        <f t="shared" si="7"/>
        <v>6.0000021699700001</v>
      </c>
      <c r="V4" s="50">
        <f t="shared" si="8"/>
        <v>-6.0000021699700001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44.391306527826089</v>
      </c>
      <c r="X4" s="43">
        <v>3</v>
      </c>
      <c r="Y4" s="51">
        <f t="shared" si="9"/>
        <v>48.142859302857147</v>
      </c>
      <c r="Z4" s="51"/>
      <c r="AA4" s="51">
        <f t="shared" si="10"/>
        <v>48.142859302857147</v>
      </c>
      <c r="AB4" s="43" t="str">
        <f t="shared" si="11"/>
        <v>Kuba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-2.9999978199799999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1.00000218999</v>
      </c>
      <c r="L5" s="141">
        <f>INDEX(Tabulka!$A$4:$AF$84,MATCH(J5,Tabulka!$A$4:$A$84,0)-1,31)+INDEX($D$2:$E$14,MATCH(K5,$C$2:$C$14,0),2)</f>
        <v>4.0000021800400001</v>
      </c>
      <c r="M5" s="141">
        <f>INDEX(Tabulka!$A$4:$AF$80,MATCH(List4!$J5,Tabulka!$A$4:$A$80,0)+3,31)+INDEX($D$2:$E$14,MATCH(K5,$C$2:$C$14,0),2)</f>
        <v>33.000002180000003</v>
      </c>
      <c r="N5" s="141">
        <f>INDEX(Tabulka!$B$4:$AF$84,MATCH(J5,Tabulka!$A$4:$A$84,0),30)+INDEX($D$2:$E$14,MATCH(K5,$C$2:$C$14,0),2)</f>
        <v>3.0000021800500001</v>
      </c>
      <c r="O5" s="141">
        <f>INDEX(Tabulka!$B$4:$AF$84,MATCH(J5,Tabulka!$A$4:$A$84,0)+2,30)+INDEX($D$2:$E$14,MATCH(K5,$C$2:$C$14,0),2)</f>
        <v>1.0000021800700001</v>
      </c>
      <c r="P5" s="141">
        <f>INDEX(Tabulka!$B$4:$AF$84,MATCH(J5,Tabulka!$A$4:$A$84,0)+1,30)+INDEX($D$2:$E$14,MATCH(K5,$C$2:$C$14,0),2)</f>
        <v>3.0000021800500001</v>
      </c>
      <c r="Q5" s="6">
        <f t="shared" si="4"/>
        <v>150380.3104591736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Standa Roth</v>
      </c>
      <c r="T5" s="49">
        <f t="shared" si="6"/>
        <v>158520.3047893162</v>
      </c>
      <c r="U5" s="50">
        <f t="shared" si="7"/>
        <v>1.00000215</v>
      </c>
      <c r="V5" s="50">
        <f t="shared" si="8"/>
        <v>-1.00000215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80.392859312857141</v>
      </c>
      <c r="X5" s="43">
        <v>4</v>
      </c>
      <c r="Y5" s="51">
        <f t="shared" si="9"/>
        <v>49.212123412121208</v>
      </c>
      <c r="Z5" s="51"/>
      <c r="AA5" s="51">
        <f t="shared" si="10"/>
        <v>49.212123412121208</v>
      </c>
      <c r="AB5" s="43" t="str">
        <f t="shared" si="11"/>
        <v>Milan Veselý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6.0000021699700001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Standa Roth</v>
      </c>
      <c r="K6" s="41">
        <f t="shared" si="3"/>
        <v>1.00000215</v>
      </c>
      <c r="L6" s="141">
        <f>INDEX(Tabulka!$A$4:$AF$84,MATCH(J6,Tabulka!$A$4:$A$84,0)-1,31)+INDEX($D$2:$E$14,MATCH(K6,$C$2:$C$14,0),2)</f>
        <v>6.0000021400300003</v>
      </c>
      <c r="M6" s="141">
        <f>INDEX(Tabulka!$A$4:$AF$80,MATCH(List4!$J6,Tabulka!$A$4:$A$80,0)+3,31)+INDEX($D$2:$E$14,MATCH(K6,$C$2:$C$14,0),2)</f>
        <v>28.000002139999999</v>
      </c>
      <c r="N6" s="141">
        <f>INDEX(Tabulka!$B$4:$AF$84,MATCH(J6,Tabulka!$A$4:$A$84,0),30)+INDEX($D$2:$E$14,MATCH(K6,$C$2:$C$14,0),2)</f>
        <v>5.0000021400300003</v>
      </c>
      <c r="O6" s="141">
        <f>INDEX(Tabulka!$B$4:$AF$84,MATCH(J6,Tabulka!$A$4:$A$84,0)+2,30)+INDEX($D$2:$E$14,MATCH(K6,$C$2:$C$14,0),2)</f>
        <v>4.0000021400400003</v>
      </c>
      <c r="P6" s="141">
        <f>INDEX(Tabulka!$B$4:$AF$84,MATCH(J6,Tabulka!$A$4:$A$84,0)+1,30)+INDEX($D$2:$E$14,MATCH(K6,$C$2:$C$14,0),2)</f>
        <v>6.0000021400300003</v>
      </c>
      <c r="Q6" s="6">
        <f t="shared" si="4"/>
        <v>158520.3047893162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Kuba Šedivý</v>
      </c>
      <c r="T6" s="49">
        <f t="shared" si="6"/>
        <v>152020.30337001878</v>
      </c>
      <c r="U6" s="50">
        <f t="shared" si="7"/>
        <v>1.0000021399899999</v>
      </c>
      <c r="V6" s="50">
        <f t="shared" si="8"/>
        <v>-1.0000021399899999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48.142859302857147</v>
      </c>
      <c r="X6" s="43">
        <v>5</v>
      </c>
      <c r="Y6" s="51">
        <f t="shared" si="9"/>
        <v>55.807694447692306</v>
      </c>
      <c r="Z6" s="51"/>
      <c r="AA6" s="51">
        <f t="shared" si="10"/>
        <v>55.807694447692306</v>
      </c>
      <c r="AB6" s="43" t="str">
        <f t="shared" si="11"/>
        <v>Pavel Pernekr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Kuba Šedivý</v>
      </c>
      <c r="K7" s="41">
        <f t="shared" si="3"/>
        <v>1.0000021399899999</v>
      </c>
      <c r="L7" s="141">
        <f>INDEX(Tabulka!$A$4:$AF$84,MATCH(J7,Tabulka!$A$4:$A$84,0)-1,31)+INDEX($D$2:$E$14,MATCH(K7,$C$2:$C$14,0),2)</f>
        <v>4.0000021300000004</v>
      </c>
      <c r="M7" s="141">
        <f>INDEX(Tabulka!$A$4:$AF$80,MATCH(List4!$J7,Tabulka!$A$4:$A$80,0)+3,31)+INDEX($D$2:$E$14,MATCH(K7,$C$2:$C$14,0),2)</f>
        <v>14.00000213</v>
      </c>
      <c r="N7" s="141">
        <f>INDEX(Tabulka!$B$4:$AF$84,MATCH(J7,Tabulka!$A$4:$A$84,0),30)+INDEX($D$2:$E$14,MATCH(K7,$C$2:$C$14,0),2)</f>
        <v>3.0000021300099999</v>
      </c>
      <c r="O7" s="141">
        <f>INDEX(Tabulka!$B$4:$AF$84,MATCH(J7,Tabulka!$A$4:$A$84,0)+2,30)+INDEX($D$2:$E$14,MATCH(K7,$C$2:$C$14,0),2)</f>
        <v>4.0000021300100004</v>
      </c>
      <c r="P7" s="141">
        <f>INDEX(Tabulka!$B$4:$AF$84,MATCH(J7,Tabulka!$A$4:$A$84,0)+1,30)+INDEX($D$2:$E$14,MATCH(K7,$C$2:$C$14,0),2)</f>
        <v>5.0000021300100004</v>
      </c>
      <c r="Q7" s="6">
        <f t="shared" si="4"/>
        <v>152020.30337001878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Libor Hruška</v>
      </c>
      <c r="T7" s="49">
        <f t="shared" si="6"/>
        <v>150380.3104591736</v>
      </c>
      <c r="U7" s="50">
        <f t="shared" si="7"/>
        <v>1.00000218999</v>
      </c>
      <c r="V7" s="50">
        <f t="shared" si="8"/>
        <v>-1.00000218999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69.36363851363636</v>
      </c>
      <c r="X7" s="43">
        <v>6</v>
      </c>
      <c r="Y7" s="51">
        <f t="shared" si="9"/>
        <v>63.538463668461539</v>
      </c>
      <c r="Z7" s="51"/>
      <c r="AA7" s="51">
        <f t="shared" si="10"/>
        <v>63.538463668461539</v>
      </c>
      <c r="AB7" s="43" t="str">
        <f t="shared" si="11"/>
        <v>Míra Šedivý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1.00000215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Pavel Pernekr</v>
      </c>
      <c r="K8" s="41">
        <f t="shared" si="3"/>
        <v>2.1600000000000005E-6</v>
      </c>
      <c r="L8" s="141">
        <f>INDEX(Tabulka!$A$4:$AF$84,MATCH(J8,Tabulka!$A$4:$A$84,0)-1,31)+INDEX($D$2:$E$14,MATCH(K8,$C$2:$C$14,0),2)</f>
        <v>3.0000021500399998</v>
      </c>
      <c r="M8" s="141">
        <f>INDEX(Tabulka!$A$4:$AF$80,MATCH(List4!$J8,Tabulka!$A$4:$A$80,0)+3,31)+INDEX($D$2:$E$14,MATCH(K8,$C$2:$C$14,0),2)</f>
        <v>26.00000215</v>
      </c>
      <c r="N8" s="141">
        <f>INDEX(Tabulka!$B$4:$AF$84,MATCH(J8,Tabulka!$A$4:$A$84,0),30)+INDEX($D$2:$E$14,MATCH(K8,$C$2:$C$14,0),2)</f>
        <v>3.0000021500399998</v>
      </c>
      <c r="O8" s="141">
        <f>INDEX(Tabulka!$B$4:$AF$84,MATCH(J8,Tabulka!$A$4:$A$84,0)+2,30)+INDEX($D$2:$E$14,MATCH(K8,$C$2:$C$14,0),2)</f>
        <v>4.0000021500300003</v>
      </c>
      <c r="P8" s="141">
        <f>INDEX(Tabulka!$B$4:$AF$84,MATCH(J8,Tabulka!$A$4:$A$84,0)+1,30)+INDEX($D$2:$E$14,MATCH(K8,$C$2:$C$14,0),2)</f>
        <v>4.0000021500400003</v>
      </c>
      <c r="Q8" s="6">
        <f t="shared" si="4"/>
        <v>8920.3062071553995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8920.3062071553995</v>
      </c>
      <c r="U8" s="50">
        <f t="shared" si="7"/>
        <v>2.1600000000000005E-6</v>
      </c>
      <c r="V8" s="50">
        <f t="shared" si="8"/>
        <v>-2.1600000000000005E-6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55.807694447692306</v>
      </c>
      <c r="X8" s="43">
        <v>7</v>
      </c>
      <c r="Y8" s="51">
        <f t="shared" si="9"/>
        <v>69.36363851363636</v>
      </c>
      <c r="Z8" s="51"/>
      <c r="AA8" s="51">
        <f t="shared" si="10"/>
        <v>69.36363851363636</v>
      </c>
      <c r="AB8" s="43" t="str">
        <f t="shared" si="11"/>
        <v>Libor Hruška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1.0000021399899999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Šedivý</v>
      </c>
      <c r="K9" s="41">
        <f t="shared" si="3"/>
        <v>-0.99999786998999995</v>
      </c>
      <c r="L9" s="141">
        <f>INDEX(Tabulka!$A$4:$AF$84,MATCH(J9,Tabulka!$A$4:$A$84,0)-1,31)+INDEX($D$2:$E$14,MATCH(K9,$C$2:$C$14,0),2)</f>
        <v>1.00000212002</v>
      </c>
      <c r="M9" s="141">
        <f>INDEX(Tabulka!$A$4:$AF$80,MATCH(List4!$J9,Tabulka!$A$4:$A$80,0)+3,31)+INDEX($D$2:$E$14,MATCH(K9,$C$2:$C$14,0),2)</f>
        <v>13.00000212</v>
      </c>
      <c r="N9" s="141">
        <f>INDEX(Tabulka!$B$4:$AF$84,MATCH(J9,Tabulka!$A$4:$A$84,0),30)+INDEX($D$2:$E$14,MATCH(K9,$C$2:$C$14,0),2)</f>
        <v>2.00000212001</v>
      </c>
      <c r="O9" s="141">
        <f>INDEX(Tabulka!$B$4:$AF$84,MATCH(J9,Tabulka!$A$4:$A$84,0)+2,30)+INDEX($D$2:$E$14,MATCH(K9,$C$2:$C$14,0),2)</f>
        <v>4.0000021200100004</v>
      </c>
      <c r="P9" s="141">
        <f>INDEX(Tabulka!$B$4:$AF$84,MATCH(J9,Tabulka!$A$4:$A$84,0)+1,30)+INDEX($D$2:$E$14,MATCH(K9,$C$2:$C$14,0),2)</f>
        <v>3.00000212001</v>
      </c>
      <c r="Q9" s="6">
        <f t="shared" si="4"/>
        <v>-136699.70584661997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Šedivý</v>
      </c>
      <c r="T9" s="49">
        <f t="shared" si="6"/>
        <v>-136699.70584661997</v>
      </c>
      <c r="U9" s="50">
        <f t="shared" si="7"/>
        <v>-0.99999786998999995</v>
      </c>
      <c r="V9" s="50">
        <f t="shared" si="8"/>
        <v>0.99999786998999995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63.538463668461539</v>
      </c>
      <c r="X9" s="43">
        <v>8</v>
      </c>
      <c r="Y9" s="51">
        <f t="shared" si="9"/>
        <v>78.27586417896552</v>
      </c>
      <c r="Z9" s="51"/>
      <c r="AA9" s="51">
        <f t="shared" si="10"/>
        <v>78.27586417896552</v>
      </c>
      <c r="AB9" s="43" t="str">
        <f t="shared" si="11"/>
        <v>Jiří Blín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Chalupník</v>
      </c>
      <c r="K10" s="41">
        <f t="shared" si="3"/>
        <v>-2.9999978199799999</v>
      </c>
      <c r="L10" s="141">
        <f>INDEX(Tabulka!$A$4:$AF$84,MATCH(J10,Tabulka!$A$4:$A$84,0)-1,31)+INDEX($D$2:$E$14,MATCH(K10,$C$2:$C$14,0),2)</f>
        <v>2.1700300000000004E-6</v>
      </c>
      <c r="M10" s="141">
        <f>INDEX(Tabulka!$A$4:$AF$80,MATCH(List4!$J10,Tabulka!$A$4:$A$80,0)+3,31)+INDEX($D$2:$E$14,MATCH(K10,$C$2:$C$14,0),2)</f>
        <v>11.00000217</v>
      </c>
      <c r="N10" s="141">
        <f>INDEX(Tabulka!$B$4:$AF$84,MATCH(J10,Tabulka!$A$4:$A$84,0),30)+INDEX($D$2:$E$14,MATCH(K10,$C$2:$C$14,0),2)</f>
        <v>3.0000021700100001</v>
      </c>
      <c r="O10" s="141">
        <f>INDEX(Tabulka!$B$4:$AF$84,MATCH(J10,Tabulka!$A$4:$A$84,0)+2,30)+INDEX($D$2:$E$14,MATCH(K10,$C$2:$C$14,0),2)</f>
        <v>2.1700300000000004E-6</v>
      </c>
      <c r="P10" s="141">
        <f>INDEX(Tabulka!$B$4:$AF$84,MATCH(J10,Tabulka!$A$4:$A$84,0)+1,30)+INDEX($D$2:$E$14,MATCH(K10,$C$2:$C$14,0),2)</f>
        <v>3.0000021700100001</v>
      </c>
      <c r="Q10" s="6">
        <f t="shared" si="4"/>
        <v>-412899.69894023996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-412899.69894023996</v>
      </c>
      <c r="U10" s="50">
        <f t="shared" si="7"/>
        <v>-2.9999978199799999</v>
      </c>
      <c r="V10" s="50">
        <f t="shared" si="8"/>
        <v>2.9999978199799999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119.81818393818182</v>
      </c>
      <c r="X10" s="43">
        <v>9</v>
      </c>
      <c r="Y10" s="51">
        <f t="shared" si="9"/>
        <v>80.392859312857141</v>
      </c>
      <c r="Z10" s="51"/>
      <c r="AA10" s="51">
        <f t="shared" si="10"/>
        <v>80.392859312857141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-6.9999978799600004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-5.9999977899700001</v>
      </c>
      <c r="L11" s="141">
        <f>INDEX(Tabulka!$A$4:$AF$84,MATCH(J11,Tabulka!$A$4:$A$84,0)-1,31)+INDEX($D$2:$E$14,MATCH(K11,$C$2:$C$14,0),2)</f>
        <v>1.00000220007</v>
      </c>
      <c r="M11" s="141">
        <f>INDEX(Tabulka!$A$4:$AF$80,MATCH(List4!$J11,Tabulka!$A$4:$A$80,0)+3,31)+INDEX($D$2:$E$14,MATCH(K11,$C$2:$C$14,0),2)</f>
        <v>29.000002200000001</v>
      </c>
      <c r="N11" s="141">
        <f>INDEX(Tabulka!$B$4:$AF$84,MATCH(J11,Tabulka!$A$4:$A$84,0),30)+INDEX($D$2:$E$14,MATCH(K11,$C$2:$C$14,0),2)</f>
        <v>7.00000220004</v>
      </c>
      <c r="O11" s="141">
        <f>INDEX(Tabulka!$B$4:$AF$84,MATCH(J11,Tabulka!$A$4:$A$84,0)+2,30)+INDEX($D$2:$E$14,MATCH(K11,$C$2:$C$14,0),2)</f>
        <v>5.00000220005</v>
      </c>
      <c r="P11" s="141">
        <f>INDEX(Tabulka!$B$4:$AF$84,MATCH(J11,Tabulka!$A$4:$A$84,0)+1,30)+INDEX($D$2:$E$14,MATCH(K11,$C$2:$C$14,0),2)</f>
        <v>11.000002200040001</v>
      </c>
      <c r="Q11" s="6">
        <f t="shared" si="4"/>
        <v>-825099.69479585998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-825099.69479585998</v>
      </c>
      <c r="U11" s="50">
        <f t="shared" si="7"/>
        <v>-5.9999977899700001</v>
      </c>
      <c r="V11" s="50">
        <f t="shared" si="8"/>
        <v>5.9999977899700001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78.27586417896552</v>
      </c>
      <c r="X11" s="43">
        <v>10</v>
      </c>
      <c r="Y11" s="51">
        <f t="shared" si="9"/>
        <v>97.04545664545455</v>
      </c>
      <c r="Z11" s="51"/>
      <c r="AA11" s="51">
        <f t="shared" si="10"/>
        <v>97.04545664545455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-6.9999978799600004</v>
      </c>
      <c r="L12" s="141">
        <f>INDEX(Tabulka!$A$4:$AF$84,MATCH(J12,Tabulka!$A$4:$A$84,0)-1,31)+INDEX($D$2:$E$14,MATCH(K12,$C$2:$C$14,0),2)</f>
        <v>2.1100700000000008E-6</v>
      </c>
      <c r="M12" s="141">
        <f>INDEX(Tabulka!$A$4:$AF$80,MATCH(List4!$J12,Tabulka!$A$4:$A$80,0)+3,31)+INDEX($D$2:$E$14,MATCH(K12,$C$2:$C$14,0),2)</f>
        <v>22.00000211</v>
      </c>
      <c r="N12" s="141">
        <f>INDEX(Tabulka!$B$4:$AF$84,MATCH(J12,Tabulka!$A$4:$A$84,0),30)+INDEX($D$2:$E$14,MATCH(K12,$C$2:$C$14,0),2)</f>
        <v>7.0000021100299996</v>
      </c>
      <c r="O12" s="141">
        <f>INDEX(Tabulka!$B$4:$AF$84,MATCH(J12,Tabulka!$A$4:$A$84,0)+2,30)+INDEX($D$2:$E$14,MATCH(K12,$C$2:$C$14,0),2)</f>
        <v>4.0000021100299996</v>
      </c>
      <c r="P12" s="141">
        <f>INDEX(Tabulka!$B$4:$AF$84,MATCH(J12,Tabulka!$A$4:$A$84,0)+1,30)+INDEX($D$2:$E$14,MATCH(K12,$C$2:$C$14,0),2)</f>
        <v>10.00000211003</v>
      </c>
      <c r="Q12" s="47">
        <f t="shared" si="4"/>
        <v>-963799.7072234801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-963799.7072234801</v>
      </c>
      <c r="U12" s="50">
        <f t="shared" si="7"/>
        <v>-6.9999978799600004</v>
      </c>
      <c r="V12" s="50">
        <f t="shared" si="8"/>
        <v>6.9999978799600004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97.04545664545455</v>
      </c>
      <c r="X12" s="43">
        <v>11</v>
      </c>
      <c r="Y12" s="51">
        <f t="shared" si="9"/>
        <v>119.81818393818182</v>
      </c>
      <c r="Z12" s="51"/>
      <c r="AA12" s="51">
        <f t="shared" si="10"/>
        <v>119.81818393818182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11.000002099950002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10.000002089940002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2020-03-04T06:21:12Z</dcterms:modified>
  <cp:category>Volnočasové aktivity</cp:category>
  <cp:contentStatus>Probíhající</cp:contentStatus>
</cp:coreProperties>
</file>