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3554933C-295F-46E0-A9A6-6E1032DF8B61}" xr6:coauthVersionLast="44" xr6:coauthVersionMax="45" xr10:uidLastSave="{00000000-0000-0000-0000-000000000000}"/>
  <bookViews>
    <workbookView xWindow="-108" yWindow="-108" windowWidth="23256" windowHeight="12576" tabRatio="723" activeTab="1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75" i="5"/>
  <c r="F67" i="5"/>
  <c r="F51" i="5"/>
  <c r="F46" i="5"/>
  <c r="F29" i="5"/>
  <c r="F77" i="5"/>
  <c r="E3" i="5"/>
  <c r="F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3" i="5"/>
  <c r="K67" i="5"/>
  <c r="K72" i="5"/>
  <c r="K7" i="5"/>
  <c r="K26" i="5"/>
  <c r="K18" i="5"/>
  <c r="K17" i="5"/>
  <c r="K82" i="5"/>
  <c r="K35" i="5"/>
  <c r="L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M67" i="5" l="1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3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N5" i="5" l="1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<sst xmlns="http://schemas.openxmlformats.org/spreadsheetml/2006/main" count="415" uniqueCount="72">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</sst>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A84" activePane="bottomRight" state="frozen"/>
      <selection activeCell="B1" sqref="B1"/>
      <selection pane="topRight" activeCell="D1" sqref="D1"/>
      <selection pane="bottomLeft" activeCell="B3" sqref="B3"/>
      <selection pane="bottomRight" activeCell="AN1" sqref="AN1:AR1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/>
      <c r="AO1" s="144"/>
      <c r="AP1" s="144"/>
      <c r="AQ1" s="144"/>
      <c r="AR1" s="145"/>
      <c r="AS1" s="143"/>
      <c r="AT1" s="144"/>
      <c r="AU1" s="144"/>
      <c r="AV1" s="144"/>
      <c r="AW1" s="145"/>
      <c r="AX1" s="143"/>
      <c r="AY1" s="144"/>
      <c r="AZ1" s="144"/>
      <c r="BA1" s="144"/>
      <c r="BB1" s="145"/>
      <c r="BC1" s="143"/>
      <c r="BD1" s="144"/>
      <c r="BE1" s="144"/>
      <c r="BF1" s="144"/>
      <c r="BG1" s="145"/>
      <c r="BH1" s="143"/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/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4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/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1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/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/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/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29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/>
      <c r="AT16" s="26"/>
      <c r="AU16" s="26"/>
      <c r="AV16" s="26"/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2056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 t="str">
        <f>IF(AS16&lt;&gt;"",AVERAGE($E$16:AS16),"")</f>
        <v/>
      </c>
      <c r="AT17" s="111" t="str">
        <f>IF(AT16&lt;&gt;"",AVERAGE($E$16:AT16),"")</f>
        <v/>
      </c>
      <c r="AU17" s="111" t="str">
        <f>IF(AU16&lt;&gt;"",AVERAGE($E$16:AU16),"")</f>
        <v/>
      </c>
      <c r="AV17" s="111" t="str">
        <f>IF(AV16&lt;&gt;"",AVERAGE($E$16:AV16),"")</f>
        <v/>
      </c>
      <c r="AW17" s="112" t="str">
        <f>IF(AW16&lt;&gt;"",AVERAGE($E$16:AW16),"")</f>
        <v/>
      </c>
      <c r="AX17" s="111" t="str">
        <f>IF(AX16&lt;&gt;"",AVERAGE($E$16:AX16),"")</f>
        <v/>
      </c>
      <c r="AY17" s="111" t="str">
        <f>IF(AY16&lt;&gt;"",AVERAGE($E$16:AY16),"")</f>
        <v/>
      </c>
      <c r="AZ17" s="111" t="str">
        <f>IF(AZ16&lt;&gt;"",AVERAGE($E$16:AZ16),"")</f>
        <v/>
      </c>
      <c r="BA17" s="111" t="str">
        <f>IF(BA16&lt;&gt;"",AVERAGE($E$16:BA16),"")</f>
        <v/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70.896551724137936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/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10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/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9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/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/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8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/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27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/>
      <c r="AO24" s="3"/>
      <c r="AP24" s="3"/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682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 t="str">
        <f>IF(AN24&lt;&gt;"",AVERAGE($E24:AN24),"")</f>
        <v/>
      </c>
      <c r="AO25" s="84" t="str">
        <f>IF(AO24&lt;&gt;"",AVERAGE($E24:AO24),"")</f>
        <v/>
      </c>
      <c r="AP25" s="84" t="str">
        <f>IF(AP24&lt;&gt;"",AVERAGE($E24:AP24),"")</f>
        <v/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 t="str">
        <f>IF(AX24&lt;&gt;"",AVERAGE($E24:AX24),"")</f>
        <v/>
      </c>
      <c r="AY25" s="84" t="str">
        <f>IF(AY24&lt;&gt;"",AVERAGE($E24:AY24),"")</f>
        <v/>
      </c>
      <c r="AZ25" s="84" t="str">
        <f>IF(AZ24&lt;&gt;"",AVERAGE($E24:AZ24),"")</f>
        <v/>
      </c>
      <c r="BA25" s="84" t="str">
        <f>IF(BA24&lt;&gt;"",AVERAGE($E24:BA24),"")</f>
        <v/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25.25925925925926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/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2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/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-1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/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/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3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/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23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/>
      <c r="AO32" s="26"/>
      <c r="AP32" s="26"/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1343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 t="str">
        <f>IF(AN32&lt;&gt;"",AVERAGE($E32:AN32),"")</f>
        <v/>
      </c>
      <c r="AO33" s="111" t="str">
        <f>IF(AO32&lt;&gt;"",AVERAGE($E32:AO32),"")</f>
        <v/>
      </c>
      <c r="AP33" s="111" t="str">
        <f>IF(AP32&lt;&gt;"",AVERAGE($E32:AP32),"")</f>
        <v/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58.391304347826086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/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11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/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2</v>
      </c>
      <c r="EF36" s="116">
        <f>SUM(EE35-EE36)</f>
        <v>9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/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2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/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5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/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29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/>
      <c r="AT40" s="3"/>
      <c r="AU40" s="3"/>
      <c r="AV40" s="1"/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1439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 t="str">
        <f>IF(AS40&lt;&gt;"",AVERAGE($E40:AS40),"")</f>
        <v/>
      </c>
      <c r="AT41" s="84" t="str">
        <f>IF(AT40&lt;&gt;"",AVERAGE($E40:AT40),"")</f>
        <v/>
      </c>
      <c r="AU41" s="84" t="str">
        <f>IF(AU40&lt;&gt;"",AVERAGE($E40:AU40),"")</f>
        <v/>
      </c>
      <c r="AV41" s="84" t="str">
        <f>IF(AV40&lt;&gt;"",AVERAGE($E40:AV40),"")</f>
        <v/>
      </c>
      <c r="AW41" s="129" t="str">
        <f>IF(AW40&lt;&gt;"",AVERAGE($E40:AW40),"")</f>
        <v/>
      </c>
      <c r="AX41" s="84" t="str">
        <f>IF(AX40&lt;&gt;"",AVERAGE($E40:AX40),"")</f>
        <v/>
      </c>
      <c r="AY41" s="84" t="str">
        <f>IF(AY40&lt;&gt;"",AVERAGE($E40:AY40),"")</f>
        <v/>
      </c>
      <c r="AZ41" s="84" t="str">
        <f>IF(AZ40&lt;&gt;"",AVERAGE($E40:AZ40),"")</f>
        <v/>
      </c>
      <c r="BA41" s="84" t="str">
        <f>IF(BA40&lt;&gt;"",AVERAGE($E40:BA40),"")</f>
        <v/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49.620689655172413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/>
      <c r="AO51" s="57"/>
      <c r="AP51" s="57"/>
      <c r="AQ51" s="58"/>
      <c r="AR51" s="59"/>
      <c r="AS51" s="57"/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/>
      <c r="AO52" s="3"/>
      <c r="AP52" s="3"/>
      <c r="AQ52" s="1"/>
      <c r="AR52" s="2"/>
      <c r="AS52" s="3"/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5</v>
      </c>
      <c r="EF52" s="116">
        <f>SUM(EE51-EE52)</f>
        <v>-4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/>
      <c r="AO53" s="3"/>
      <c r="AP53" s="3"/>
      <c r="AQ53" s="1"/>
      <c r="AR53" s="2"/>
      <c r="AS53" s="3"/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6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/>
      <c r="AO54" s="3"/>
      <c r="AP54" s="3"/>
      <c r="AQ54" s="1"/>
      <c r="AR54" s="2"/>
      <c r="AS54" s="3"/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4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/>
      <c r="AO55" s="3"/>
      <c r="AP55" s="3"/>
      <c r="AQ55" s="1"/>
      <c r="AR55" s="2"/>
      <c r="AS55" s="3"/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22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/>
      <c r="AO56" s="3"/>
      <c r="AP56" s="3"/>
      <c r="AQ56" s="1"/>
      <c r="AR56" s="2"/>
      <c r="AS56" s="3"/>
      <c r="AT56" s="3"/>
      <c r="AU56" s="3"/>
      <c r="AV56" s="1"/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1647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 t="str">
        <f>IF(AN56&lt;&gt;"",AVERAGE($E56:AN56),"")</f>
        <v/>
      </c>
      <c r="AO57" s="84" t="str">
        <f>IF(AO56&lt;&gt;"",AVERAGE($E56:AO56),"")</f>
        <v/>
      </c>
      <c r="AP57" s="84" t="str">
        <f>IF(AP56&lt;&gt;"",AVERAGE($E56:AP56),"")</f>
        <v/>
      </c>
      <c r="AQ57" s="84" t="str">
        <f>IF(AQ56&lt;&gt;"",AVERAGE($E56:AQ56),"")</f>
        <v/>
      </c>
      <c r="AR57" s="129" t="str">
        <f>IF(AR56&lt;&gt;"",AVERAGE($E56:AR56),"")</f>
        <v/>
      </c>
      <c r="AS57" s="84" t="str">
        <f>IF(AS56&lt;&gt;"",AVERAGE($E56:AS56),"")</f>
        <v/>
      </c>
      <c r="AT57" s="84" t="str">
        <f>IF(AT56&lt;&gt;"",AVERAGE($E56:AT56),"")</f>
        <v/>
      </c>
      <c r="AU57" s="84" t="str">
        <f>IF(AU56&lt;&gt;"",AVERAGE($E56:AU56),"")</f>
        <v/>
      </c>
      <c r="AV57" s="84" t="str">
        <f>IF(AV56&lt;&gt;"",AVERAGE($E56:AV56),"")</f>
        <v/>
      </c>
      <c r="AW57" s="129" t="str">
        <f>IF(AW56&lt;&gt;"",AVERAGE($E56:AW56),"")</f>
        <v/>
      </c>
      <c r="AX57" s="84" t="str">
        <f>IF(AX56&lt;&gt;"",AVERAGE($E56:AX56),"")</f>
        <v/>
      </c>
      <c r="AY57" s="84" t="str">
        <f>IF(AY56&lt;&gt;"",AVERAGE($E56:AY56),"")</f>
        <v/>
      </c>
      <c r="AZ57" s="84" t="str">
        <f>IF(AZ56&lt;&gt;"",AVERAGE($E56:AZ56),"")</f>
        <v/>
      </c>
      <c r="BA57" s="84" t="str">
        <f>IF(BA56&lt;&gt;"",AVERAGE($E56:BA56),"")</f>
        <v/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74.86363636363636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/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/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6</v>
      </c>
      <c r="EF60" s="116">
        <f>SUM(EE59-EE60)</f>
        <v>-6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/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9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/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4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/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19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/>
      <c r="AO64" s="26"/>
      <c r="AP64" s="26"/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1796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 t="str">
        <f>IF(AN64&lt;&gt;"",AVERAGE($E64:AN64),"")</f>
        <v/>
      </c>
      <c r="AO65" s="111" t="str">
        <f>IF(AO64&lt;&gt;"",AVERAGE($E64:AO64),"")</f>
        <v/>
      </c>
      <c r="AP65" s="111" t="str">
        <f>IF(AP64&lt;&gt;"",AVERAGE($E64:AP64),"")</f>
        <v/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 t="str">
        <f>IF(AX64&lt;&gt;"",AVERAGE($E64:AX64),"")</f>
        <v/>
      </c>
      <c r="AY65" s="111" t="str">
        <f>IF(AY64&lt;&gt;"",AVERAGE($E64:AY64),"")</f>
        <v/>
      </c>
      <c r="AZ65" s="111" t="str">
        <f>IF(AZ64&lt;&gt;"",AVERAGE($E64:AZ64),"")</f>
        <v/>
      </c>
      <c r="BA65" s="111" t="str">
        <f>IF(BA64&lt;&gt;"",AVERAGE($E64:BA64),"")</f>
        <v/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94.526315789473685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/>
      <c r="AO67" s="57"/>
      <c r="AP67" s="57"/>
      <c r="AQ67" s="58"/>
      <c r="AR67" s="59"/>
      <c r="AS67" s="57"/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/>
      <c r="AO68" s="3"/>
      <c r="AP68" s="3"/>
      <c r="AQ68" s="1"/>
      <c r="AR68" s="2"/>
      <c r="AS68" s="3"/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0</v>
      </c>
      <c r="EF68" s="116">
        <f>SUM(EE67-EE68)</f>
        <v>0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/>
      <c r="AO69" s="3"/>
      <c r="AP69" s="3"/>
      <c r="AQ69" s="1"/>
      <c r="AR69" s="2"/>
      <c r="AS69" s="3"/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0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/>
      <c r="AO70" s="3"/>
      <c r="AP70" s="3"/>
      <c r="AQ70" s="1"/>
      <c r="AR70" s="2"/>
      <c r="AS70" s="3"/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/>
      <c r="AO71" s="3"/>
      <c r="AP71" s="3"/>
      <c r="AQ71" s="1"/>
      <c r="AR71" s="2"/>
      <c r="AS71" s="3"/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4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/>
      <c r="AO72" s="3"/>
      <c r="AP72" s="3"/>
      <c r="AQ72" s="1"/>
      <c r="AR72" s="2"/>
      <c r="AS72" s="3"/>
      <c r="AT72" s="3"/>
      <c r="AU72" s="3"/>
      <c r="AV72" s="1"/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419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 t="str">
        <f>IF(AN72&lt;&gt;"",AVERAGE($E72:AN72),"")</f>
        <v/>
      </c>
      <c r="AO73" s="84" t="str">
        <f>IF(AO72&lt;&gt;"",AVERAGE($E72:AO72),"")</f>
        <v/>
      </c>
      <c r="AP73" s="84" t="str">
        <f>IF(AP72&lt;&gt;"",AVERAGE($E72:AP72),"")</f>
        <v/>
      </c>
      <c r="AQ73" s="84" t="str">
        <f>IF(AQ72&lt;&gt;"",AVERAGE($E72:AQ72),"")</f>
        <v/>
      </c>
      <c r="AR73" s="129" t="str">
        <f>IF(AR72&lt;&gt;"",AVERAGE($E72:AR72),"")</f>
        <v/>
      </c>
      <c r="AS73" s="84" t="str">
        <f>IF(AS72&lt;&gt;"",AVERAGE($E72:AS72),"")</f>
        <v/>
      </c>
      <c r="AT73" s="84" t="str">
        <f>IF(AT72&lt;&gt;"",AVERAGE($E72:AT72),"")</f>
        <v/>
      </c>
      <c r="AU73" s="84" t="str">
        <f>IF(AU72&lt;&gt;"",AVERAGE($E72:AU72),"")</f>
        <v/>
      </c>
      <c r="AV73" s="84" t="str">
        <f>IF(AV72&lt;&gt;"",AVERAGE($E72:AV72),"")</f>
        <v/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104.75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/>
      <c r="AO75" s="24"/>
      <c r="AP75" s="24"/>
      <c r="AQ75" s="24"/>
      <c r="AR75" s="25"/>
      <c r="AS75" s="24"/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/>
      <c r="AO76" s="26"/>
      <c r="AP76" s="26"/>
      <c r="AQ76" s="26"/>
      <c r="AR76" s="27"/>
      <c r="AS76" s="26"/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/>
      <c r="AO77" s="26"/>
      <c r="AP77" s="26"/>
      <c r="AQ77" s="26"/>
      <c r="AR77" s="27"/>
      <c r="AS77" s="26"/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/>
      <c r="AO78" s="26"/>
      <c r="AP78" s="26"/>
      <c r="AQ78" s="26"/>
      <c r="AR78" s="27"/>
      <c r="AS78" s="26"/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3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/>
      <c r="AO79" s="26"/>
      <c r="AP79" s="26"/>
      <c r="AQ79" s="26"/>
      <c r="AR79" s="27"/>
      <c r="AS79" s="26"/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16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/>
      <c r="AO80" s="26"/>
      <c r="AP80" s="26"/>
      <c r="AQ80" s="26"/>
      <c r="AR80" s="27"/>
      <c r="AS80" s="26"/>
      <c r="AT80" s="26"/>
      <c r="AU80" s="26"/>
      <c r="AV80" s="26"/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972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 t="str">
        <f>IF(AN80&lt;&gt;"",AVERAGE($E80:AN80),"")</f>
        <v/>
      </c>
      <c r="AO81" s="111" t="str">
        <f>IF(AO80&lt;&gt;"",AVERAGE($E80:AO80),"")</f>
        <v/>
      </c>
      <c r="AP81" s="111" t="str">
        <f>IF(AP80&lt;&gt;"",AVERAGE($E80:AP80),"")</f>
        <v/>
      </c>
      <c r="AQ81" s="111" t="str">
        <f>IF(AQ80&lt;&gt;"",AVERAGE($E80:AQ80),"")</f>
        <v/>
      </c>
      <c r="AR81" s="112" t="str">
        <f>IF(AR80&lt;&gt;"",AVERAGE($E80:AR80),"")</f>
        <v/>
      </c>
      <c r="AS81" s="111" t="str">
        <f>IF(AS80&lt;&gt;"",AVERAGE($E80:AS80),"")</f>
        <v/>
      </c>
      <c r="AT81" s="111" t="str">
        <f>IF(AT80&lt;&gt;"",AVERAGE($E80:AT80),"")</f>
        <v/>
      </c>
      <c r="AU81" s="111" t="str">
        <f>IF(AU80&lt;&gt;"",AVERAGE($E80:AU80),"")</f>
        <v/>
      </c>
      <c r="AV81" s="111" t="str">
        <f>IF(AV80&lt;&gt;"",AVERAGE($E80:AV80),"")</f>
        <v/>
      </c>
      <c r="AW81" s="112" t="str">
        <f>IF(AW80&lt;&gt;"",AVERAGE($E80:AW80),"")</f>
        <v/>
      </c>
      <c r="AX81" s="111" t="str">
        <f>IF(AX80&lt;&gt;"",AVERAGE($E80:AX80),"")</f>
        <v/>
      </c>
      <c r="AY81" s="111" t="str">
        <f>IF(AY80&lt;&gt;"",AVERAGE($E80:AY80),"")</f>
        <v/>
      </c>
      <c r="AZ81" s="111" t="str">
        <f>IF(AZ80&lt;&gt;"",AVERAGE($E80:AZ80),"")</f>
        <v/>
      </c>
      <c r="BA81" s="111" t="str">
        <f>IF(BA80&lt;&gt;"",AVERAGE($E80:BA80),"")</f>
        <v/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60.75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/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2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/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-1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/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/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2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/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10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/>
      <c r="AT88" s="3"/>
      <c r="AU88" s="3"/>
      <c r="AV88" s="1"/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604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 t="str">
        <f>IF(AS88&lt;&gt;"",AVERAGE($E88:AS88),"")</f>
        <v/>
      </c>
      <c r="AT89" s="84" t="str">
        <f>IF(AT88&lt;&gt;"",AVERAGE($E88:AT88),"")</f>
        <v/>
      </c>
      <c r="AU89" s="84" t="str">
        <f>IF(AU88&lt;&gt;"",AVERAGE($E88:AU88),"")</f>
        <v/>
      </c>
      <c r="AV89" s="84" t="str">
        <f>IF(AV88&lt;&gt;"",AVERAGE($E88:AV88),"")</f>
        <v/>
      </c>
      <c r="AW89" s="129" t="str">
        <f>IF(AW88&lt;&gt;"",AVERAGE($E88:AW88),"")</f>
        <v/>
      </c>
      <c r="AX89" s="84" t="str">
        <f>IF(AX88&lt;&gt;"",AVERAGE($E88:AX88),"")</f>
        <v/>
      </c>
      <c r="AY89" s="84" t="str">
        <f>IF(AY88&lt;&gt;"",AVERAGE($E88:AY88),"")</f>
        <v/>
      </c>
      <c r="AZ89" s="84" t="str">
        <f>IF(AZ88&lt;&gt;"",AVERAGE($E88:AZ88),"")</f>
        <v/>
      </c>
      <c r="BA89" s="84" t="str">
        <f>IF(BA88&lt;&gt;"",AVERAGE($E88:BA88),"")</f>
        <v/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60.4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/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6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/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4</v>
      </c>
      <c r="EF92" s="116">
        <f>SUM(EE91-EE92)</f>
        <v>2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/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4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/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/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25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/>
      <c r="AO96" s="26"/>
      <c r="AP96" s="26"/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2019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 t="str">
        <f>IF(AN96&lt;&gt;"",AVERAGE($E96:AN96),"")</f>
        <v/>
      </c>
      <c r="AO97" s="111" t="str">
        <f>IF(AO96&lt;&gt;"",AVERAGE($E96:AO96),"")</f>
        <v/>
      </c>
      <c r="AP97" s="111" t="str">
        <f>IF(AP96&lt;&gt;"",AVERAGE($E96:AP96),"")</f>
        <v/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 t="str">
        <f>IF(AX96&lt;&gt;"",AVERAGE($E96:AX96),"")</f>
        <v/>
      </c>
      <c r="AY97" s="111" t="str">
        <f>IF(AY96&lt;&gt;"",AVERAGE($E96:AY96),"")</f>
        <v/>
      </c>
      <c r="AZ97" s="111" t="str">
        <f>IF(AZ96&lt;&gt;"",AVERAGE($E96:AZ96),"")</f>
        <v/>
      </c>
      <c r="BA97" s="111" t="str">
        <f>IF(BA96&lt;&gt;"",AVERAGE($E96:BA96),"")</f>
        <v/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80.760000000000005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tabSelected="1" zoomScaleNormal="100" workbookViewId="0">
      <pane xSplit="3" ySplit="3" topLeftCell="D16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 t="str">
        <f>IFERROR(IF(INDEX(Přehled_body!$E$1:$ED$1,1,MATCH(Tabulka!J2,Přehled_body!$D$1:$ED$1,0)+4)="","",INDEX(Přehled_body!$E$1:$ED$1,1,MATCH(Tabulka!J2,Přehled_body!$D$1:$ED$1,0)+4)),"")</f>
        <v/>
      </c>
      <c r="L2" s="133" t="str">
        <f>IFERROR(IF(INDEX(Přehled_body!$E$1:$ED$1,1,MATCH(Tabulka!K2,Přehled_body!$D$1:$ED$1,0)+4)="","",INDEX(Přehled_body!$E$1:$ED$1,1,MATCH(Tabulka!K2,Přehled_body!$D$1:$ED$1,0)+4)),"")</f>
        <v/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 t="str">
        <f t="shared" si="0"/>
        <v/>
      </c>
      <c r="L3" s="136" t="str">
        <f t="shared" si="0"/>
        <v/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0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4.00000000003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0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3.00000000004</v>
      </c>
      <c r="AF10" s="140">
        <f>IF(AE13&gt;0.9,SUM(AE9-AE10)+0.00000001,0)</f>
        <v>1.0000000099899999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0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3.00000000004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0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1.00000000006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0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29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0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10.000000000010001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0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1.00000000006</v>
      </c>
      <c r="AF15" s="140">
        <f>IF(AE18&gt;0.9,SUM(AE14-AE15)+0.00000001,0)</f>
        <v>9.0000000099500017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0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1.00000000006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0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8.00000000002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0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27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0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2.00000000004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0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3.00000000003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0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4.00000000003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0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3.00000000003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0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23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0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11.000000000010001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0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2.00000000005</v>
      </c>
      <c r="AF25" s="140">
        <f>IF(AE28&gt;0.9,SUM(AE24-AE25)+0.00000001,0)</f>
        <v>9.0000000099600008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0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2.00000000005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0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5.00000000004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0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29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0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0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1.00000000005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0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0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5.00000000003</v>
      </c>
      <c r="AF35" s="140">
        <f>IF(AE38&gt;0.9,SUM(AE34-AE35)+0.00000001,0)</f>
        <v>-3.9999999899800001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0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0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6.00000000003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0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0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4.00000000004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0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0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22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0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6E-11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0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6.00000000003</v>
      </c>
      <c r="AF40" s="140">
        <f>IF(AE43&gt;0.9,SUM(AE39-AE40)+0.00000001,0)</f>
        <v>-5.9999999899700001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0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9.0000000000299991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0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4.00000000002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0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19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0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0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9.9999999999999994E-12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0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0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9.9999999999999994E-12</v>
      </c>
      <c r="AF45" s="140">
        <f>IF(AE48&gt;0.9,SUM(AE44-AE45)+0.00000001,0)</f>
        <v>1E-8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0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0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9.9999999999999994E-12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0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0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9.9999999999999994E-12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0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0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4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0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0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1.00000000003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0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0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3.9999999999999998E-11</v>
      </c>
      <c r="AF50" s="140">
        <f>IF(AE53&gt;0.9,SUM(AE49-AE50)+0.00000001,0)</f>
        <v>1.0000000099899999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0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0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3.9999999999999998E-11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0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0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3.00000000001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0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0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16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0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2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0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</v>
      </c>
      <c r="AF55" s="140">
        <f>IF(AE58&gt;0.9,SUM(AE54-AE55)+0.00000001,0)</f>
        <v>-0.99999998999999995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0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0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2.00000000001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0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10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0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6.00000000002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0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4.00000000003</v>
      </c>
      <c r="AF60" s="140">
        <f>IF(AE63&gt;0.9,SUM(AE59-AE60)+0.00000001,0)</f>
        <v>2.0000000099899999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0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4.00000000003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0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4.00000000003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0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25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M5" sqref="M5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18. 2. 2020      na www.sipy.zlatyruce.cz</v>
      </c>
      <c r="B1" s="157"/>
      <c r="C1" s="157"/>
      <c r="D1" s="157"/>
      <c r="E1" s="157"/>
      <c r="F1" s="157"/>
      <c r="G1" s="157"/>
      <c r="H1" s="157"/>
    </row>
    <row r="2" spans="1:17" ht="52.8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37</v>
      </c>
    </row>
    <row r="3" spans="1:17" ht="17.399999999999999">
      <c r="A3" s="54">
        <v>1</v>
      </c>
      <c r="B3" s="9" t="str">
        <f>List4!S2</f>
        <v>Milan Veselý</v>
      </c>
      <c r="C3" s="20">
        <f>IF(List4!K2&lt;-88888,-90000,INDEX(Tabulka!$B$4:$AF$84,MATCH(B3,Tabulka!$A$4:$A$84,0),31))</f>
        <v>9.0000000099600008</v>
      </c>
      <c r="D3" s="18">
        <f>INDEX(Tabulka!$A$4:$AF$84,MATCH(B3,Tabulka!$A$4:$A$84,0)-1,31)</f>
        <v>11.000000000010001</v>
      </c>
      <c r="E3" s="18">
        <f>INDEX(Tabulka!$B$4:$AF$84,MATCH(B3,Tabulka!$A$4:$A$84,0)+3,30)</f>
        <v>29</v>
      </c>
      <c r="F3" s="18">
        <f>INDEX(Tabulka!$B$4:$AF$84,MATCH(B3,Tabulka!$A$4:$A$84,0),30)</f>
        <v>2.00000000005</v>
      </c>
      <c r="G3" s="18">
        <f>INDEX(Tabulka!$B$4:$AF$84,MATCH(B3,Tabulka!$A$4:$A$84,0)+2,30)</f>
        <v>5.00000000004</v>
      </c>
      <c r="H3" s="19">
        <f>INDEX(Tabulka!$B$4:$AF$84,MATCH(B3,Tabulka!$A$4:$A$84,0)+1,30)</f>
        <v>2.00000000005</v>
      </c>
      <c r="L3" s="31" t="str">
        <f>IFERROR(List4!AB2,"")</f>
        <v>Milan Veselý</v>
      </c>
      <c r="M3" s="52">
        <f>IFERROR(List4!AA2,"")</f>
        <v>29.000002200000001</v>
      </c>
      <c r="Q3" s="8" t="s">
        <v>23</v>
      </c>
    </row>
    <row r="4" spans="1:17" ht="17.399999999999999">
      <c r="A4" s="55">
        <v>2</v>
      </c>
      <c r="B4" s="10" t="str">
        <f>List4!S3</f>
        <v>Petr Weiner</v>
      </c>
      <c r="C4" s="21">
        <f>IF(List4!K3&lt;-88888,-90000,INDEX(Tabulka!$B$4:$AF$84,MATCH(B4,Tabulka!$A$4:$A$84,0),31))</f>
        <v>9.0000000099500017</v>
      </c>
      <c r="D4" s="12">
        <f>INDEX(Tabulka!$A$4:$AF$84,MATCH(B4,Tabulka!$A$4:$A$84,0)-1,31)</f>
        <v>10.000000000010001</v>
      </c>
      <c r="E4" s="12">
        <f>INDEX(Tabulka!$B$4:$AF$84,MATCH(B4,Tabulka!$A$4:$A$84,0)+3,30)</f>
        <v>27</v>
      </c>
      <c r="F4" s="12">
        <f>INDEX(Tabulka!$B$4:$AF$84,MATCH(B4,Tabulka!$A$4:$A$84,0),30)</f>
        <v>1.00000000006</v>
      </c>
      <c r="G4" s="12">
        <f>INDEX(Tabulka!$B$4:$AF$84,MATCH(B4,Tabulka!$A$4:$A$84,0)+2,30)</f>
        <v>8.00000000002</v>
      </c>
      <c r="H4" s="13">
        <f>INDEX(Tabulka!$B$4:$AF$84,MATCH(B4,Tabulka!$A$4:$A$84,0)+1,30)</f>
        <v>1.00000000006</v>
      </c>
      <c r="J4" s="32"/>
      <c r="L4" s="31" t="str">
        <f>IFERROR(List4!AB3,"")</f>
        <v>Libor Hruška</v>
      </c>
      <c r="M4" s="52">
        <f>IFERROR(List4!AA3,"")</f>
        <v>29.000002169999998</v>
      </c>
      <c r="Q4" s="8" t="s">
        <v>24</v>
      </c>
    </row>
    <row r="5" spans="1:17" ht="17.399999999999999">
      <c r="A5" s="55">
        <v>3</v>
      </c>
      <c r="B5" s="10" t="str">
        <f>List4!S4</f>
        <v>Standa Roth</v>
      </c>
      <c r="C5" s="21">
        <f>IF(List4!K4&lt;-88888,-90000,INDEX(Tabulka!$B$4:$AF$84,MATCH(B5,Tabulka!$A$4:$A$84,0),31))</f>
        <v>2.0000000099899999</v>
      </c>
      <c r="D5" s="12">
        <f>INDEX(Tabulka!$A$4:$AF$84,MATCH(B5,Tabulka!$A$4:$A$84,0)-1,31)</f>
        <v>6.00000000002</v>
      </c>
      <c r="E5" s="12">
        <f>INDEX(Tabulka!$B$4:$AF$84,MATCH(B5,Tabulka!$A$4:$A$84,0)+3,30)</f>
        <v>25</v>
      </c>
      <c r="F5" s="12">
        <f>INDEX(Tabulka!$B$4:$AF$84,MATCH(B5,Tabulka!$A$4:$A$84,0),30)</f>
        <v>4.00000000003</v>
      </c>
      <c r="G5" s="12">
        <f>INDEX(Tabulka!$B$4:$AF$84,MATCH(B5,Tabulka!$A$4:$A$84,0)+2,30)</f>
        <v>4.00000000003</v>
      </c>
      <c r="H5" s="13">
        <f>INDEX(Tabulka!$B$4:$AF$84,MATCH(B5,Tabulka!$A$4:$A$84,0)+1,30)</f>
        <v>4.00000000003</v>
      </c>
      <c r="J5" s="32"/>
      <c r="L5" s="31" t="str">
        <f>IFERROR(List4!AB4,"")</f>
        <v>Petr Weiner</v>
      </c>
      <c r="M5" s="52">
        <f>IFERROR(List4!AA4,"")</f>
        <v>27.00000219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1.0000000099899999</v>
      </c>
      <c r="D6" s="12">
        <f>INDEX(Tabulka!$A$4:$AF$84,MATCH(B6,Tabulka!$A$4:$A$84,0)-1,31)</f>
        <v>4.00000000003</v>
      </c>
      <c r="E6" s="12">
        <f>INDEX(Tabulka!$B$4:$AF$84,MATCH(B6,Tabulka!$A$4:$A$84,0)+3,30)</f>
        <v>29</v>
      </c>
      <c r="F6" s="12">
        <f>INDEX(Tabulka!$B$4:$AF$84,MATCH(B6,Tabulka!$A$4:$A$84,0),30)</f>
        <v>3.00000000004</v>
      </c>
      <c r="G6" s="12">
        <f>INDEX(Tabulka!$B$4:$AF$84,MATCH(B6,Tabulka!$A$4:$A$84,0)+2,30)</f>
        <v>1.00000000006</v>
      </c>
      <c r="H6" s="13">
        <f>INDEX(Tabulka!$B$4:$AF$84,MATCH(B6,Tabulka!$A$4:$A$84,0)+1,30)</f>
        <v>3.00000000004</v>
      </c>
      <c r="J6" s="32"/>
      <c r="L6" s="31" t="str">
        <f>IFERROR(List4!AB5,"")</f>
        <v>Standa Roth</v>
      </c>
      <c r="M6" s="52">
        <f>IFERROR(List4!AA5,"")</f>
        <v>25.000002179999999</v>
      </c>
      <c r="Q6" s="8" t="s">
        <v>25</v>
      </c>
    </row>
    <row r="7" spans="1:17" ht="17.399999999999999">
      <c r="A7" s="55">
        <v>5</v>
      </c>
      <c r="B7" s="10" t="str">
        <f>List4!S6</f>
        <v>Jarda Klein</v>
      </c>
      <c r="C7" s="21">
        <f>IF(List4!K6&lt;-88888,-90000,INDEX(Tabulka!$B$4:$AF$84,MATCH(B7,Tabulka!$A$4:$A$84,0),31))</f>
        <v>1.0000000099899999</v>
      </c>
      <c r="D7" s="12">
        <f>INDEX(Tabulka!$A$4:$AF$84,MATCH(B7,Tabulka!$A$4:$A$84,0)-1,31)</f>
        <v>1.00000000003</v>
      </c>
      <c r="E7" s="12">
        <f>INDEX(Tabulka!$B$4:$AF$84,MATCH(B7,Tabulka!$A$4:$A$84,0)+3,30)</f>
        <v>16</v>
      </c>
      <c r="F7" s="12">
        <f>INDEX(Tabulka!$B$4:$AF$84,MATCH(B7,Tabulka!$A$4:$A$84,0),30)</f>
        <v>3.9999999999999998E-11</v>
      </c>
      <c r="G7" s="12">
        <f>INDEX(Tabulka!$B$4:$AF$84,MATCH(B7,Tabulka!$A$4:$A$84,0)+2,30)</f>
        <v>3.00000000001</v>
      </c>
      <c r="H7" s="13">
        <f>INDEX(Tabulka!$B$4:$AF$84,MATCH(B7,Tabulka!$A$4:$A$84,0)+1,30)</f>
        <v>3.9999999999999998E-11</v>
      </c>
      <c r="J7" s="32"/>
      <c r="L7" s="31" t="str">
        <f>IFERROR(List4!AB6,"")</f>
        <v>Pavel Pernekr</v>
      </c>
      <c r="M7" s="52">
        <f>IFERROR(List4!AA6,"")</f>
        <v>23.000002139999999</v>
      </c>
      <c r="Q7" s="8" t="s">
        <v>37</v>
      </c>
    </row>
    <row r="8" spans="1:17" ht="17.399999999999999">
      <c r="A8" s="55">
        <v>6</v>
      </c>
      <c r="B8" s="10" t="str">
        <f>List4!S7</f>
        <v>Míra Chalupník</v>
      </c>
      <c r="C8" s="21">
        <f>IF(List4!K7&lt;-88888,-90000,INDEX(Tabulka!$B$4:$AF$84,MATCH(B8,Tabulka!$A$4:$A$84,0),31))</f>
        <v>1E-8</v>
      </c>
      <c r="D8" s="12">
        <f>INDEX(Tabulka!$A$4:$AF$84,MATCH(B8,Tabulka!$A$4:$A$84,0)-1,31)</f>
        <v>9.9999999999999994E-12</v>
      </c>
      <c r="E8" s="12">
        <f>INDEX(Tabulka!$B$4:$AF$84,MATCH(B8,Tabulka!$A$4:$A$84,0)+3,30)</f>
        <v>4</v>
      </c>
      <c r="F8" s="12">
        <f>INDEX(Tabulka!$B$4:$AF$84,MATCH(B8,Tabulka!$A$4:$A$84,0),30)</f>
        <v>9.9999999999999994E-12</v>
      </c>
      <c r="G8" s="12">
        <f>INDEX(Tabulka!$B$4:$AF$84,MATCH(B8,Tabulka!$A$4:$A$84,0)+2,30)</f>
        <v>9.9999999999999994E-12</v>
      </c>
      <c r="H8" s="13">
        <f>INDEX(Tabulka!$B$4:$AF$84,MATCH(B8,Tabulka!$A$4:$A$84,0)+1,30)</f>
        <v>9.9999999999999994E-12</v>
      </c>
      <c r="J8" s="32"/>
      <c r="L8" s="31" t="str">
        <f>IFERROR(List4!AB7,"")</f>
        <v>Jiří Blín</v>
      </c>
      <c r="M8" s="52">
        <f>IFERROR(List4!AA7,"")</f>
        <v>22.00000211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2.00000000004</v>
      </c>
      <c r="E9" s="12">
        <f>INDEX(Tabulka!$B$4:$AF$84,MATCH(B9,Tabulka!$A$4:$A$84,0)+3,30)</f>
        <v>23</v>
      </c>
      <c r="F9" s="12">
        <f>INDEX(Tabulka!$B$4:$AF$84,MATCH(B9,Tabulka!$A$4:$A$84,0),30)</f>
        <v>3.00000000003</v>
      </c>
      <c r="G9" s="12">
        <f>INDEX(Tabulka!$B$4:$AF$84,MATCH(B9,Tabulka!$A$4:$A$84,0)+2,30)</f>
        <v>3.00000000003</v>
      </c>
      <c r="H9" s="13">
        <f>INDEX(Tabulka!$B$4:$AF$84,MATCH(B9,Tabulka!$A$4:$A$84,0)+1,30)</f>
        <v>4.00000000003</v>
      </c>
      <c r="L9" s="31" t="str">
        <f>IFERROR(List4!AB8,"")</f>
        <v>Adam Šmíd</v>
      </c>
      <c r="M9" s="52">
        <f>IFERROR(List4!AA8,"")</f>
        <v>19.0000021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Jarda Klein</v>
      </c>
      <c r="M10" s="52">
        <f>IFERROR(List4!AA9,"")</f>
        <v>16.000002160000001</v>
      </c>
    </row>
    <row r="11" spans="1:17" ht="17.399999999999999">
      <c r="A11" s="55">
        <v>9</v>
      </c>
      <c r="B11" s="10" t="str">
        <f>List4!S10</f>
        <v>Kuba Šedivý</v>
      </c>
      <c r="C11" s="21">
        <f>IF(List4!K10&lt;-88888,-90000,INDEX(Tabulka!$B$4:$AF$84,MATCH(B11,Tabulka!$A$4:$A$84,0),31))</f>
        <v>-0.99999998999999995</v>
      </c>
      <c r="D11" s="12">
        <f>INDEX(Tabulka!$A$4:$AF$84,MATCH(B11,Tabulka!$A$4:$A$84,0)-1,31)</f>
        <v>2</v>
      </c>
      <c r="E11" s="12">
        <f>INDEX(Tabulka!$B$4:$AF$84,MATCH(B11,Tabulka!$A$4:$A$84,0)+3,30)</f>
        <v>10</v>
      </c>
      <c r="F11" s="12">
        <f>INDEX(Tabulka!$B$4:$AF$84,MATCH(B11,Tabulka!$A$4:$A$84,0),30)</f>
        <v>3</v>
      </c>
      <c r="G11" s="12">
        <f>INDEX(Tabulka!$B$4:$AF$84,MATCH(B11,Tabulka!$A$4:$A$84,0)+2,30)</f>
        <v>2.00000000001</v>
      </c>
      <c r="H11" s="13">
        <f>INDEX(Tabulka!$B$4:$AF$84,MATCH(B11,Tabulka!$A$4:$A$84,0)+1,30)</f>
        <v>5</v>
      </c>
      <c r="L11" s="31" t="str">
        <f>IFERROR(List4!AB10,"")</f>
        <v>Míra Šedivý</v>
      </c>
      <c r="M11" s="52">
        <f>IFERROR(List4!AA10,"")</f>
        <v>13.00000213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-3.9999999899800001</v>
      </c>
      <c r="D12" s="12">
        <f>INDEX(Tabulka!$A$4:$AF$84,MATCH(B12,Tabulka!$A$4:$A$84,0)-1,31)</f>
        <v>1.00000000005</v>
      </c>
      <c r="E12" s="12">
        <f>INDEX(Tabulka!$B$4:$AF$84,MATCH(B12,Tabulka!$A$4:$A$84,0)+3,30)</f>
        <v>22</v>
      </c>
      <c r="F12" s="12">
        <f>INDEX(Tabulka!$B$4:$AF$84,MATCH(B12,Tabulka!$A$4:$A$84,0),30)</f>
        <v>5.00000000003</v>
      </c>
      <c r="G12" s="12">
        <f>INDEX(Tabulka!$B$4:$AF$84,MATCH(B12,Tabulka!$A$4:$A$84,0)+2,30)</f>
        <v>4.00000000004</v>
      </c>
      <c r="H12" s="13">
        <f>INDEX(Tabulka!$B$4:$AF$84,MATCH(B12,Tabulka!$A$4:$A$84,0)+1,30)</f>
        <v>6.00000000003</v>
      </c>
      <c r="L12" s="31" t="str">
        <f>IFERROR(List4!AB11,"")</f>
        <v>Kuba Šedivý</v>
      </c>
      <c r="M12" s="52">
        <f>IFERROR(List4!AA11,"")</f>
        <v>10.00000212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-5.9999999899700001</v>
      </c>
      <c r="D13" s="12">
        <f>INDEX(Tabulka!$A$4:$AF$84,MATCH(B13,Tabulka!$A$4:$A$84,0)-1,31)</f>
        <v>6E-11</v>
      </c>
      <c r="E13" s="12">
        <f>INDEX(Tabulka!$B$4:$AF$84,MATCH(B13,Tabulka!$A$4:$A$84,0)+3,30)</f>
        <v>19</v>
      </c>
      <c r="F13" s="12">
        <f>INDEX(Tabulka!$B$4:$AF$84,MATCH(B13,Tabulka!$A$4:$A$84,0),30)</f>
        <v>6.00000000003</v>
      </c>
      <c r="G13" s="12">
        <f>INDEX(Tabulka!$B$4:$AF$84,MATCH(B13,Tabulka!$A$4:$A$84,0)+2,30)</f>
        <v>4.00000000002</v>
      </c>
      <c r="H13" s="13">
        <f>INDEX(Tabulka!$B$4:$AF$84,MATCH(B13,Tabulka!$A$4:$A$84,0)+1,30)</f>
        <v>9.0000000000299991</v>
      </c>
      <c r="L13" s="31" t="str">
        <f>IFERROR(List4!AB12,"")</f>
        <v>Míra Chalupník</v>
      </c>
      <c r="M13" s="52">
        <f>IFERROR(List4!AA12,"")</f>
        <v>4.0000021500000003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Poč. kol</v>
      </c>
      <c r="X1" s="35"/>
      <c r="Y1" s="35"/>
      <c r="Z1" s="35"/>
      <c r="AA1" s="46" t="str">
        <f>Pořadí!M2</f>
        <v>Poč. kol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-3.9999977899800001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Milan Veselý</v>
      </c>
      <c r="K2" s="41">
        <f t="shared" ref="K2:K14" si="3">LARGE($C$2:$C$14,ROW(I2)-1)</f>
        <v>9.0000020999600014</v>
      </c>
      <c r="L2" s="141">
        <f>INDEX(Tabulka!$A$4:$AF$84,MATCH(J2,Tabulka!$A$4:$A$84,0)-1,31)+INDEX($D$2:$E$14,MATCH(K2,$C$2:$C$14,0),2)</f>
        <v>11.000002090010002</v>
      </c>
      <c r="M2" s="141">
        <f>INDEX(Tabulka!$A$4:$AF$80,MATCH(List4!$J2,Tabulka!$A$4:$A$80,0)+3,31)+INDEX($D$2:$E$14,MATCH(K2,$C$2:$C$14,0),2)</f>
        <v>29.000002089999999</v>
      </c>
      <c r="N2" s="141">
        <f>INDEX(Tabulka!$B$4:$AF$84,MATCH(J2,Tabulka!$A$4:$A$84,0),30)+INDEX($D$2:$E$14,MATCH(K2,$C$2:$C$14,0),2)</f>
        <v>2.0000020900500002</v>
      </c>
      <c r="O2" s="141">
        <f>INDEX(Tabulka!$B$4:$AF$84,MATCH(J2,Tabulka!$A$4:$A$84,0)+2,30)+INDEX($D$2:$E$14,MATCH(K2,$C$2:$C$14,0),2)</f>
        <v>5.0000020900399997</v>
      </c>
      <c r="P2" s="141">
        <f>INDEX(Tabulka!$B$4:$AF$84,MATCH(J2,Tabulka!$A$4:$A$84,0)+1,30)+INDEX($D$2:$E$14,MATCH(K2,$C$2:$C$14,0),2)</f>
        <v>2.0000020900500002</v>
      </c>
      <c r="Q2" s="6">
        <f t="shared" ref="Q2:Q14" si="4">IF(K2&lt;-888,K2*100000,K2*138000+IF(K2&lt;0,IF(AVERAGE($M$2:$M$14)-20&lt;M2,M2*100,M2*150),IF(AVERAGE($M$2:$M$14)-20&lt;M2,M2*-100,M2*-150)+P2*-100+O2*-20+L2*4000))</f>
        <v>1282800.2976947145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Milan Veselý</v>
      </c>
      <c r="T2" s="49">
        <f t="shared" ref="T2:T13" si="6">LARGE($Q$2:$Q$14,ROW(S2)-1)</f>
        <v>1282800.2976947145</v>
      </c>
      <c r="U2" s="50">
        <f t="shared" ref="U2:U14" si="7">INDEX($K$2:$K$14,MATCH($S2,$J$2:$J$14,0))</f>
        <v>9.0000020999600014</v>
      </c>
      <c r="V2" s="50">
        <f t="shared" ref="V2:V14" si="8">INDEX($K$2:$K$14,MATCH($S2,$J$2:$J$14,0))*-1</f>
        <v>-9.0000020999600014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29.000002200000001</v>
      </c>
      <c r="X2" s="43">
        <v>1</v>
      </c>
      <c r="Y2" s="51">
        <f t="shared" ref="Y2:Y14" si="9">IF(OR($AA$1="Výhry",$AA$1="Poč. kol")=TRUE,LARGE($W$2:$W$14,X2),SMALL($W$2:$W$14,X2))</f>
        <v>29.000002200000001</v>
      </c>
      <c r="Z2" s="51"/>
      <c r="AA2" s="51">
        <f t="shared" ref="AA2:AA14" si="10">IF(ROUND(ABS(W2),0)=ABS(90000),"Neklas",IF(OR($AA$1="Výhry",$AA$1="Poč. kol")=TRUE,LARGE($W$2:$W$14,X2),SMALL($W$2:$W$14,X2)))</f>
        <v>29.000002200000001</v>
      </c>
      <c r="AB2" s="43" t="str">
        <f t="shared" ref="AB2:AB14" si="11">INDEX($S$2:$S$14,MATCH($Y2,$W$2:$W$14,0),1)</f>
        <v>Milan Veselý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Petr Weiner</v>
      </c>
      <c r="K3" s="41">
        <f t="shared" si="3"/>
        <v>9.0000020899500015</v>
      </c>
      <c r="L3" s="141">
        <f>INDEX(Tabulka!$A$4:$AF$84,MATCH(J3,Tabulka!$A$4:$A$84,0)-1,31)+INDEX($D$2:$E$14,MATCH(K3,$C$2:$C$14,0),2)</f>
        <v>10.000002080010001</v>
      </c>
      <c r="M3" s="141">
        <f>INDEX(Tabulka!$A$4:$AF$80,MATCH(List4!$J3,Tabulka!$A$4:$A$80,0)+3,31)+INDEX($D$2:$E$14,MATCH(K3,$C$2:$C$14,0),2)</f>
        <v>27.000002080000002</v>
      </c>
      <c r="N3" s="141">
        <f>INDEX(Tabulka!$B$4:$AF$84,MATCH(J3,Tabulka!$A$4:$A$84,0),30)+INDEX($D$2:$E$14,MATCH(K3,$C$2:$C$14,0),2)</f>
        <v>1.00000208006</v>
      </c>
      <c r="O3" s="141">
        <f>INDEX(Tabulka!$B$4:$AF$84,MATCH(J3,Tabulka!$A$4:$A$84,0)+2,30)+INDEX($D$2:$E$14,MATCH(K3,$C$2:$C$14,0),2)</f>
        <v>8.0000020800199998</v>
      </c>
      <c r="P3" s="141">
        <f>INDEX(Tabulka!$B$4:$AF$84,MATCH(J3,Tabulka!$A$4:$A$84,0)+1,30)+INDEX($D$2:$E$14,MATCH(K3,$C$2:$C$14,0),2)</f>
        <v>1.00000208006</v>
      </c>
      <c r="Q3" s="6">
        <f t="shared" si="4"/>
        <v>1279040.2962755337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Petr Weiner</v>
      </c>
      <c r="T3" s="49">
        <f t="shared" si="6"/>
        <v>1279040.2962755337</v>
      </c>
      <c r="U3" s="50">
        <f t="shared" si="7"/>
        <v>9.0000020899500015</v>
      </c>
      <c r="V3" s="50">
        <f t="shared" si="8"/>
        <v>-9.0000020899500015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27.00000219</v>
      </c>
      <c r="X3" s="43">
        <v>2</v>
      </c>
      <c r="Y3" s="51">
        <f t="shared" si="9"/>
        <v>29.000002169999998</v>
      </c>
      <c r="Z3" s="51"/>
      <c r="AA3" s="51">
        <f t="shared" si="10"/>
        <v>29.000002169999998</v>
      </c>
      <c r="AB3" s="43" t="str">
        <f t="shared" si="11"/>
        <v>Libor Hruška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1.00000218999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Standa Roth</v>
      </c>
      <c r="K4" s="41">
        <f t="shared" si="3"/>
        <v>2.0000021499899998</v>
      </c>
      <c r="L4" s="141">
        <f>INDEX(Tabulka!$A$4:$AF$84,MATCH(J4,Tabulka!$A$4:$A$84,0)-1,31)+INDEX($D$2:$E$14,MATCH(K4,$C$2:$C$14,0),2)</f>
        <v>6.0000021400200003</v>
      </c>
      <c r="M4" s="141">
        <f>INDEX(Tabulka!$A$4:$AF$80,MATCH(List4!$J4,Tabulka!$A$4:$A$80,0)+3,31)+INDEX($D$2:$E$14,MATCH(K4,$C$2:$C$14,0),2)</f>
        <v>25.000002139999999</v>
      </c>
      <c r="N4" s="142">
        <f>INDEX(Tabulka!$B$4:$AF$84,MATCH(J4,Tabulka!$A$4:$A$84,0),30)+INDEX($D$2:$E$14,MATCH(K4,$C$2:$C$14,0),2)</f>
        <v>4.0000021400300003</v>
      </c>
      <c r="O4" s="141">
        <f>INDEX(Tabulka!$B$4:$AF$84,MATCH(J4,Tabulka!$A$4:$A$84,0)+2,30)+INDEX($D$2:$E$14,MATCH(K4,$C$2:$C$14,0),2)</f>
        <v>4.0000021400300003</v>
      </c>
      <c r="P4" s="141">
        <f>INDEX(Tabulka!$B$4:$AF$84,MATCH(J4,Tabulka!$A$4:$A$84,0)+1,30)+INDEX($D$2:$E$14,MATCH(K4,$C$2:$C$14,0),2)</f>
        <v>4.0000021400300003</v>
      </c>
      <c r="Q4" s="6">
        <f t="shared" si="4"/>
        <v>297020.30478789634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Standa Roth</v>
      </c>
      <c r="T4" s="49">
        <f t="shared" si="6"/>
        <v>297020.30478789634</v>
      </c>
      <c r="U4" s="50">
        <f t="shared" si="7"/>
        <v>2.0000021499899998</v>
      </c>
      <c r="V4" s="50">
        <f t="shared" si="8"/>
        <v>-2.0000021499899998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25.000002179999999</v>
      </c>
      <c r="X4" s="43">
        <v>3</v>
      </c>
      <c r="Y4" s="51">
        <f t="shared" si="9"/>
        <v>27.00000219</v>
      </c>
      <c r="Z4" s="51"/>
      <c r="AA4" s="51">
        <f t="shared" si="10"/>
        <v>27.00000219</v>
      </c>
      <c r="AB4" s="43" t="str">
        <f t="shared" si="11"/>
        <v>Petr Weiner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2.1800000000000003E-6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1.00000218999</v>
      </c>
      <c r="L5" s="141">
        <f>INDEX(Tabulka!$A$4:$AF$84,MATCH(J5,Tabulka!$A$4:$A$84,0)-1,31)+INDEX($D$2:$E$14,MATCH(K5,$C$2:$C$14,0),2)</f>
        <v>4.0000021800300001</v>
      </c>
      <c r="M5" s="141">
        <f>INDEX(Tabulka!$A$4:$AF$80,MATCH(List4!$J5,Tabulka!$A$4:$A$80,0)+3,31)+INDEX($D$2:$E$14,MATCH(K5,$C$2:$C$14,0),2)</f>
        <v>29.000002179999999</v>
      </c>
      <c r="N5" s="141">
        <f>INDEX(Tabulka!$B$4:$AF$84,MATCH(J5,Tabulka!$A$4:$A$84,0),30)+INDEX($D$2:$E$14,MATCH(K5,$C$2:$C$14,0),2)</f>
        <v>3.0000021800400001</v>
      </c>
      <c r="O5" s="141">
        <f>INDEX(Tabulka!$B$4:$AF$84,MATCH(J5,Tabulka!$A$4:$A$84,0)+2,30)+INDEX($D$2:$E$14,MATCH(K5,$C$2:$C$14,0),2)</f>
        <v>1.0000021800600001</v>
      </c>
      <c r="P5" s="141">
        <f>INDEX(Tabulka!$B$4:$AF$84,MATCH(J5,Tabulka!$A$4:$A$84,0)+1,30)+INDEX($D$2:$E$14,MATCH(K5,$C$2:$C$14,0),2)</f>
        <v>3.0000021800400001</v>
      </c>
      <c r="Q5" s="6">
        <f t="shared" si="4"/>
        <v>150780.31045913481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150780.31045913481</v>
      </c>
      <c r="U5" s="50">
        <f t="shared" si="7"/>
        <v>1.00000218999</v>
      </c>
      <c r="V5" s="50">
        <f t="shared" si="8"/>
        <v>-1.00000218999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29.000002169999998</v>
      </c>
      <c r="X5" s="43">
        <v>4</v>
      </c>
      <c r="Y5" s="51">
        <f t="shared" si="9"/>
        <v>25.000002179999999</v>
      </c>
      <c r="Z5" s="51"/>
      <c r="AA5" s="51">
        <f t="shared" si="10"/>
        <v>25.000002179999999</v>
      </c>
      <c r="AB5" s="43" t="str">
        <f t="shared" si="11"/>
        <v>Standa Roth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1.0000021699899999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Jarda Klein</v>
      </c>
      <c r="K6" s="41">
        <f t="shared" si="3"/>
        <v>1.0000021699899999</v>
      </c>
      <c r="L6" s="141">
        <f>INDEX(Tabulka!$A$4:$AF$84,MATCH(J6,Tabulka!$A$4:$A$84,0)-1,31)+INDEX($D$2:$E$14,MATCH(K6,$C$2:$C$14,0),2)</f>
        <v>1.00000216003</v>
      </c>
      <c r="M6" s="141">
        <f>INDEX(Tabulka!$A$4:$AF$80,MATCH(List4!$J6,Tabulka!$A$4:$A$80,0)+3,31)+INDEX($D$2:$E$14,MATCH(K6,$C$2:$C$14,0),2)</f>
        <v>16.000002160000001</v>
      </c>
      <c r="N6" s="141">
        <f>INDEX(Tabulka!$B$4:$AF$84,MATCH(J6,Tabulka!$A$4:$A$84,0),30)+INDEX($D$2:$E$14,MATCH(K6,$C$2:$C$14,0),2)</f>
        <v>2.1600400000000003E-6</v>
      </c>
      <c r="O6" s="141">
        <f>INDEX(Tabulka!$B$4:$AF$84,MATCH(J6,Tabulka!$A$4:$A$84,0)+2,30)+INDEX($D$2:$E$14,MATCH(K6,$C$2:$C$14,0),2)</f>
        <v>3.0000021600100002</v>
      </c>
      <c r="P6" s="141">
        <f>INDEX(Tabulka!$B$4:$AF$84,MATCH(J6,Tabulka!$A$4:$A$84,0)+1,30)+INDEX($D$2:$E$14,MATCH(K6,$C$2:$C$14,0),2)</f>
        <v>2.1600400000000003E-6</v>
      </c>
      <c r="Q6" s="6">
        <f t="shared" si="4"/>
        <v>140340.3076235358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Jarda Klein</v>
      </c>
      <c r="T6" s="49">
        <f t="shared" si="6"/>
        <v>140340.3076235358</v>
      </c>
      <c r="U6" s="50">
        <f t="shared" si="7"/>
        <v>1.0000021699899999</v>
      </c>
      <c r="V6" s="50">
        <f t="shared" si="8"/>
        <v>-1.0000021699899999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16.000002160000001</v>
      </c>
      <c r="X6" s="43">
        <v>5</v>
      </c>
      <c r="Y6" s="51">
        <f t="shared" si="9"/>
        <v>23.000002139999999</v>
      </c>
      <c r="Z6" s="51"/>
      <c r="AA6" s="51">
        <f t="shared" si="10"/>
        <v>23.000002139999999</v>
      </c>
      <c r="AB6" s="43" t="str">
        <f t="shared" si="11"/>
        <v>Pavel Pernekr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Míra Chalupník</v>
      </c>
      <c r="K7" s="41">
        <f t="shared" si="3"/>
        <v>2.1800000000000003E-6</v>
      </c>
      <c r="L7" s="141">
        <f>INDEX(Tabulka!$A$4:$AF$84,MATCH(J7,Tabulka!$A$4:$A$84,0)-1,31)+INDEX($D$2:$E$14,MATCH(K7,$C$2:$C$14,0),2)</f>
        <v>2.1700100000000003E-6</v>
      </c>
      <c r="M7" s="141">
        <f>INDEX(Tabulka!$A$4:$AF$80,MATCH(List4!$J7,Tabulka!$A$4:$A$80,0)+3,31)+INDEX($D$2:$E$14,MATCH(K7,$C$2:$C$14,0),2)</f>
        <v>4.0000021700000001</v>
      </c>
      <c r="N7" s="141">
        <f>INDEX(Tabulka!$B$4:$AF$84,MATCH(J7,Tabulka!$A$4:$A$84,0),30)+INDEX($D$2:$E$14,MATCH(K7,$C$2:$C$14,0),2)</f>
        <v>2.1700100000000003E-6</v>
      </c>
      <c r="O7" s="141">
        <f>INDEX(Tabulka!$B$4:$AF$84,MATCH(J7,Tabulka!$A$4:$A$84,0)+2,30)+INDEX($D$2:$E$14,MATCH(K7,$C$2:$C$14,0),2)</f>
        <v>2.1700100000000003E-6</v>
      </c>
      <c r="P7" s="141">
        <f>INDEX(Tabulka!$B$4:$AF$84,MATCH(J7,Tabulka!$A$4:$A$84,0)+1,30)+INDEX($D$2:$E$14,MATCH(K7,$C$2:$C$14,0),2)</f>
        <v>2.1700100000000003E-6</v>
      </c>
      <c r="Q7" s="6">
        <f t="shared" si="4"/>
        <v>-399.69095736120005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Míra Chalupník</v>
      </c>
      <c r="T7" s="49">
        <f t="shared" si="6"/>
        <v>-399.69095736120005</v>
      </c>
      <c r="U7" s="50">
        <f t="shared" si="7"/>
        <v>2.1800000000000003E-6</v>
      </c>
      <c r="V7" s="50">
        <f t="shared" si="8"/>
        <v>-2.1800000000000003E-6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4.0000021500000003</v>
      </c>
      <c r="X7" s="43">
        <v>6</v>
      </c>
      <c r="Y7" s="51">
        <f t="shared" si="9"/>
        <v>22.00000211</v>
      </c>
      <c r="Z7" s="51"/>
      <c r="AA7" s="51">
        <f t="shared" si="10"/>
        <v>22.00000211</v>
      </c>
      <c r="AB7" s="43" t="str">
        <f t="shared" si="11"/>
        <v>Jiří Blín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2.0000021499899998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Pavel Pernekr</v>
      </c>
      <c r="K8" s="41">
        <f t="shared" si="3"/>
        <v>-0.99999783998999991</v>
      </c>
      <c r="L8" s="141">
        <f>INDEX(Tabulka!$A$4:$AF$84,MATCH(J8,Tabulka!$A$4:$A$84,0)-1,31)+INDEX($D$2:$E$14,MATCH(K8,$C$2:$C$14,0),2)</f>
        <v>2.0000021500399998</v>
      </c>
      <c r="M8" s="141">
        <f>INDEX(Tabulka!$A$4:$AF$80,MATCH(List4!$J8,Tabulka!$A$4:$A$80,0)+3,31)+INDEX($D$2:$E$14,MATCH(K8,$C$2:$C$14,0),2)</f>
        <v>23.00000215</v>
      </c>
      <c r="N8" s="141">
        <f>INDEX(Tabulka!$B$4:$AF$84,MATCH(J8,Tabulka!$A$4:$A$84,0),30)+INDEX($D$2:$E$14,MATCH(K8,$C$2:$C$14,0),2)</f>
        <v>3.0000021500299998</v>
      </c>
      <c r="O8" s="141">
        <f>INDEX(Tabulka!$B$4:$AF$84,MATCH(J8,Tabulka!$A$4:$A$84,0)+2,30)+INDEX($D$2:$E$14,MATCH(K8,$C$2:$C$14,0),2)</f>
        <v>3.0000021500299998</v>
      </c>
      <c r="P8" s="141">
        <f>INDEX(Tabulka!$B$4:$AF$84,MATCH(J8,Tabulka!$A$4:$A$84,0)+1,30)+INDEX($D$2:$E$14,MATCH(K8,$C$2:$C$14,0),2)</f>
        <v>4.0000021500300003</v>
      </c>
      <c r="Q8" s="6">
        <f t="shared" si="4"/>
        <v>-135699.70170361997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-135699.70170361997</v>
      </c>
      <c r="U8" s="50">
        <f t="shared" si="7"/>
        <v>-0.99999783998999991</v>
      </c>
      <c r="V8" s="50">
        <f t="shared" si="8"/>
        <v>0.99999783998999991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23.000002139999999</v>
      </c>
      <c r="X8" s="43">
        <v>7</v>
      </c>
      <c r="Y8" s="51">
        <f t="shared" si="9"/>
        <v>19.0000021</v>
      </c>
      <c r="Z8" s="51"/>
      <c r="AA8" s="51">
        <f t="shared" si="10"/>
        <v>19.0000021</v>
      </c>
      <c r="AB8" s="43" t="str">
        <f t="shared" si="11"/>
        <v>Adam Šmíd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-0.99999785999999991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Kuba Šedivý</v>
      </c>
      <c r="K9" s="41">
        <f t="shared" si="3"/>
        <v>-0.99999785999999991</v>
      </c>
      <c r="L9" s="141">
        <f>INDEX(Tabulka!$A$4:$AF$84,MATCH(J9,Tabulka!$A$4:$A$84,0)-1,31)+INDEX($D$2:$E$14,MATCH(K9,$C$2:$C$14,0),2)</f>
        <v>2.0000021299999999</v>
      </c>
      <c r="M9" s="141">
        <f>INDEX(Tabulka!$A$4:$AF$80,MATCH(List4!$J9,Tabulka!$A$4:$A$80,0)+3,31)+INDEX($D$2:$E$14,MATCH(K9,$C$2:$C$14,0),2)</f>
        <v>10.00000213</v>
      </c>
      <c r="N9" s="141">
        <f>INDEX(Tabulka!$B$4:$AF$84,MATCH(J9,Tabulka!$A$4:$A$84,0),30)+INDEX($D$2:$E$14,MATCH(K9,$C$2:$C$14,0),2)</f>
        <v>3.0000021299999999</v>
      </c>
      <c r="O9" s="141">
        <f>INDEX(Tabulka!$B$4:$AF$84,MATCH(J9,Tabulka!$A$4:$A$84,0)+2,30)+INDEX($D$2:$E$14,MATCH(K9,$C$2:$C$14,0),2)</f>
        <v>2.0000021300099999</v>
      </c>
      <c r="P9" s="141">
        <f>INDEX(Tabulka!$B$4:$AF$84,MATCH(J9,Tabulka!$A$4:$A$84,0)+1,30)+INDEX($D$2:$E$14,MATCH(K9,$C$2:$C$14,0),2)</f>
        <v>5.0000021300000004</v>
      </c>
      <c r="Q9" s="6">
        <f t="shared" si="4"/>
        <v>-136999.704467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13.00000213</v>
      </c>
      <c r="X9" s="43">
        <v>8</v>
      </c>
      <c r="Y9" s="51">
        <f t="shared" si="9"/>
        <v>16.000002160000001</v>
      </c>
      <c r="Z9" s="51"/>
      <c r="AA9" s="51">
        <f t="shared" si="10"/>
        <v>16.000002160000001</v>
      </c>
      <c r="AB9" s="43" t="str">
        <f t="shared" si="11"/>
        <v>Jarda Klein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Šedivý</v>
      </c>
      <c r="K10" s="41">
        <f t="shared" si="3"/>
        <v>-0.99999786998999995</v>
      </c>
      <c r="L10" s="141">
        <f>INDEX(Tabulka!$A$4:$AF$84,MATCH(J10,Tabulka!$A$4:$A$84,0)-1,31)+INDEX($D$2:$E$14,MATCH(K10,$C$2:$C$14,0),2)</f>
        <v>1.00000212002</v>
      </c>
      <c r="M10" s="141">
        <f>INDEX(Tabulka!$A$4:$AF$80,MATCH(List4!$J10,Tabulka!$A$4:$A$80,0)+3,31)+INDEX($D$2:$E$14,MATCH(K10,$C$2:$C$14,0),2)</f>
        <v>13.00000212</v>
      </c>
      <c r="N10" s="141">
        <f>INDEX(Tabulka!$B$4:$AF$84,MATCH(J10,Tabulka!$A$4:$A$84,0),30)+INDEX($D$2:$E$14,MATCH(K10,$C$2:$C$14,0),2)</f>
        <v>2.00000212001</v>
      </c>
      <c r="O10" s="141">
        <f>INDEX(Tabulka!$B$4:$AF$84,MATCH(J10,Tabulka!$A$4:$A$84,0)+2,30)+INDEX($D$2:$E$14,MATCH(K10,$C$2:$C$14,0),2)</f>
        <v>4.0000021200100004</v>
      </c>
      <c r="P10" s="141">
        <f>INDEX(Tabulka!$B$4:$AF$84,MATCH(J10,Tabulka!$A$4:$A$84,0)+1,30)+INDEX($D$2:$E$14,MATCH(K10,$C$2:$C$14,0),2)</f>
        <v>3.00000212001</v>
      </c>
      <c r="Q10" s="6">
        <f t="shared" si="4"/>
        <v>-136699.70584661997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Kuba Šedivý</v>
      </c>
      <c r="T10" s="49">
        <f t="shared" si="6"/>
        <v>-136999.704467</v>
      </c>
      <c r="U10" s="50">
        <f t="shared" si="7"/>
        <v>-0.99999785999999991</v>
      </c>
      <c r="V10" s="50">
        <f t="shared" si="8"/>
        <v>0.99999785999999991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10.00000212</v>
      </c>
      <c r="X10" s="43">
        <v>9</v>
      </c>
      <c r="Y10" s="51">
        <f t="shared" si="9"/>
        <v>13.00000213</v>
      </c>
      <c r="Z10" s="51"/>
      <c r="AA10" s="51">
        <f t="shared" si="10"/>
        <v>13.00000213</v>
      </c>
      <c r="AB10" s="43" t="str">
        <f t="shared" si="11"/>
        <v>Míra Šedivý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-5.9999978799700004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-3.9999977899800001</v>
      </c>
      <c r="L11" s="141">
        <f>INDEX(Tabulka!$A$4:$AF$84,MATCH(J11,Tabulka!$A$4:$A$84,0)-1,31)+INDEX($D$2:$E$14,MATCH(K11,$C$2:$C$14,0),2)</f>
        <v>1.00000220005</v>
      </c>
      <c r="M11" s="141">
        <f>INDEX(Tabulka!$A$4:$AF$80,MATCH(List4!$J11,Tabulka!$A$4:$A$80,0)+3,31)+INDEX($D$2:$E$14,MATCH(K11,$C$2:$C$14,0),2)</f>
        <v>22.000002200000001</v>
      </c>
      <c r="N11" s="141">
        <f>INDEX(Tabulka!$B$4:$AF$84,MATCH(J11,Tabulka!$A$4:$A$84,0),30)+INDEX($D$2:$E$14,MATCH(K11,$C$2:$C$14,0),2)</f>
        <v>5.00000220003</v>
      </c>
      <c r="O11" s="141">
        <f>INDEX(Tabulka!$B$4:$AF$84,MATCH(J11,Tabulka!$A$4:$A$84,0)+2,30)+INDEX($D$2:$E$14,MATCH(K11,$C$2:$C$14,0),2)</f>
        <v>4.00000220004</v>
      </c>
      <c r="P11" s="141">
        <f>INDEX(Tabulka!$B$4:$AF$84,MATCH(J11,Tabulka!$A$4:$A$84,0)+1,30)+INDEX($D$2:$E$14,MATCH(K11,$C$2:$C$14,0),2)</f>
        <v>6.00000220003</v>
      </c>
      <c r="Q11" s="6">
        <f t="shared" si="4"/>
        <v>-549799.69479723996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-549799.69479723996</v>
      </c>
      <c r="U11" s="50">
        <f t="shared" si="7"/>
        <v>-3.9999977899800001</v>
      </c>
      <c r="V11" s="50">
        <f t="shared" si="8"/>
        <v>3.9999977899800001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22.00000211</v>
      </c>
      <c r="X11" s="43">
        <v>10</v>
      </c>
      <c r="Y11" s="51">
        <f t="shared" si="9"/>
        <v>10.00000212</v>
      </c>
      <c r="Z11" s="51"/>
      <c r="AA11" s="51">
        <f t="shared" si="10"/>
        <v>10.00000212</v>
      </c>
      <c r="AB11" s="43" t="str">
        <f t="shared" si="11"/>
        <v>Kuba Šedivý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-5.9999978799700004</v>
      </c>
      <c r="L12" s="141">
        <f>INDEX(Tabulka!$A$4:$AF$84,MATCH(J12,Tabulka!$A$4:$A$84,0)-1,31)+INDEX($D$2:$E$14,MATCH(K12,$C$2:$C$14,0),2)</f>
        <v>2.1100600000000009E-6</v>
      </c>
      <c r="M12" s="141">
        <f>INDEX(Tabulka!$A$4:$AF$80,MATCH(List4!$J12,Tabulka!$A$4:$A$80,0)+3,31)+INDEX($D$2:$E$14,MATCH(K12,$C$2:$C$14,0),2)</f>
        <v>19.00000211</v>
      </c>
      <c r="N12" s="141">
        <f>INDEX(Tabulka!$B$4:$AF$84,MATCH(J12,Tabulka!$A$4:$A$84,0),30)+INDEX($D$2:$E$14,MATCH(K12,$C$2:$C$14,0),2)</f>
        <v>6.0000021100299996</v>
      </c>
      <c r="O12" s="141">
        <f>INDEX(Tabulka!$B$4:$AF$84,MATCH(J12,Tabulka!$A$4:$A$84,0)+2,30)+INDEX($D$2:$E$14,MATCH(K12,$C$2:$C$14,0),2)</f>
        <v>4.0000021100199996</v>
      </c>
      <c r="P12" s="141">
        <f>INDEX(Tabulka!$B$4:$AF$84,MATCH(J12,Tabulka!$A$4:$A$84,0)+1,30)+INDEX($D$2:$E$14,MATCH(K12,$C$2:$C$14,0),2)</f>
        <v>9.0000021100299996</v>
      </c>
      <c r="Q12" s="47">
        <f t="shared" si="4"/>
        <v>-826099.70722486009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-826099.70722486009</v>
      </c>
      <c r="U12" s="50">
        <f t="shared" si="7"/>
        <v>-5.9999978799700004</v>
      </c>
      <c r="V12" s="50">
        <f t="shared" si="8"/>
        <v>5.9999978799700004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19.0000021</v>
      </c>
      <c r="X12" s="43">
        <v>11</v>
      </c>
      <c r="Y12" s="51">
        <f t="shared" si="9"/>
        <v>4.0000021500000003</v>
      </c>
      <c r="Z12" s="51"/>
      <c r="AA12" s="51">
        <f t="shared" si="10"/>
        <v>4.0000021500000003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9.0000020999600014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-89999.999997909996</v>
      </c>
      <c r="X13" s="43">
        <v>12</v>
      </c>
      <c r="Y13" s="51">
        <f t="shared" si="9"/>
        <v>-89999.999997909996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9.0000020899500015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-89999.999997919993</v>
      </c>
      <c r="X14" s="43">
        <v>13</v>
      </c>
      <c r="Y14" s="51">
        <f t="shared" si="9"/>
        <v>-89999.999997919993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2020-02-19T05:32:23Z</dcterms:modified>
  <cp:category>Volnočasové aktivity</cp:category>
  <cp:contentStatus>Probíhající</cp:contentStatus>
</cp:coreProperties>
</file>